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7620" activeTab="7"/>
  </bookViews>
  <sheets>
    <sheet name="Points" sheetId="1" r:id="rId1"/>
    <sheet name="jg" sheetId="2" r:id="rId2"/>
    <sheet name="jgresults" sheetId="3" r:id="rId3"/>
    <sheet name="jb" sheetId="4" r:id="rId4"/>
    <sheet name="jbresults" sheetId="5" r:id="rId5"/>
    <sheet name="ig" sheetId="6" r:id="rId6"/>
    <sheet name="igresults" sheetId="7" r:id="rId7"/>
    <sheet name="ib" sheetId="8" r:id="rId8"/>
    <sheet name="ibresults" sheetId="9" r:id="rId9"/>
    <sheet name="sg" sheetId="10" r:id="rId10"/>
    <sheet name="sgresults" sheetId="11" r:id="rId11"/>
    <sheet name="sb" sheetId="12" r:id="rId12"/>
    <sheet name="sbresults" sheetId="13" r:id="rId13"/>
    <sheet name="athletes" sheetId="14" r:id="rId14"/>
    <sheet name="Distance Cards" sheetId="15" r:id="rId15"/>
    <sheet name="HeightCards" sheetId="16" r:id="rId16"/>
    <sheet name="qualifiers" sheetId="17" r:id="rId17"/>
  </sheets>
  <definedNames>
    <definedName name="_jg100">'athletes'!$A$23:$C$38</definedName>
    <definedName name="_sg3000">'athletes'!$I$20</definedName>
    <definedName name="codes">'athletes'!$L$4:$M$15</definedName>
    <definedName name="females">'athletes'!#REF!</definedName>
    <definedName name="ib100m">'athletes'!$A$73:$C$91</definedName>
    <definedName name="ib100mh">'athletes'!$A$214:$C$228</definedName>
    <definedName name="ib1500m">'athletes'!$A$482:$C$497</definedName>
    <definedName name="ib1500msc">'athletes'!$A$510:$C$515</definedName>
    <definedName name="ib200m">'athletes'!$A$423:$C$440</definedName>
    <definedName name="ib3000m">'athletes'!$A$531:$C$539</definedName>
    <definedName name="ib400m">'athletes'!$A$268:$C$283</definedName>
    <definedName name="ib400mh">'athletes'!$A$14:$C$15</definedName>
    <definedName name="ib800m">'athletes'!$A$145:$C$157</definedName>
    <definedName name="ibdt">'athletes'!$G$215:$I$234</definedName>
    <definedName name="ibhj">'athletes'!$G$34:$I$58</definedName>
    <definedName name="ibht">'athletes'!$G$18:$I$24</definedName>
    <definedName name="ibjt">'athletes'!$G$636:$I$654</definedName>
    <definedName name="iblj">'athletes'!$G$243:$I$266</definedName>
    <definedName name="ibpv">'athletes'!$G$279:$I$285</definedName>
    <definedName name="ibsp">'athletes'!$G$461:$I$484</definedName>
    <definedName name="ibtj">'athletes'!$G$423:$I$447</definedName>
    <definedName name="ig100m">'athletes'!$A$58:$C$72</definedName>
    <definedName name="ig1500m">'athletes'!$A$458:$C$469</definedName>
    <definedName name="ig1500SC">'athletes'!$A$560:$C$561</definedName>
    <definedName name="ig200m">'athletes'!$A$405:$C$422</definedName>
    <definedName name="ig3000m">'athletes'!$A$524:$C$529</definedName>
    <definedName name="ig300m">'athletes'!$A$235:$C$248</definedName>
    <definedName name="ig300mh">'athletes'!$A$5:$C$12</definedName>
    <definedName name="ig800m">'athletes'!$A$135:$C$143</definedName>
    <definedName name="ig80mh">'athletes'!$A$187:$C$193</definedName>
    <definedName name="igdt">'athletes'!$G$91:$I$109</definedName>
    <definedName name="ighj">'athletes'!$G$521:$I$535</definedName>
    <definedName name="ight">'athletes'!$G$25:$I$27</definedName>
    <definedName name="igjt">'athletes'!$G$393:$I$412</definedName>
    <definedName name="iglj">'athletes'!$G$68:$I$79</definedName>
    <definedName name="igPV">'athletes'!$G$678:$I$683</definedName>
    <definedName name="igsp">'athletes'!$G$594:$I$615</definedName>
    <definedName name="igtj">'athletes'!$G$617:$I$629</definedName>
    <definedName name="jb100m">'athletes'!$A$40:$C$55</definedName>
    <definedName name="jb1500m">'athletes'!$A$351:$C$362</definedName>
    <definedName name="jb200m">'athletes'!$A$386:$C$400</definedName>
    <definedName name="jb300m">'athletes'!$A$251:$C$264</definedName>
    <definedName name="jb400m">'athletes'!$A$250:$C$267</definedName>
    <definedName name="jb800m">'athletes'!$A$119:$C$133</definedName>
    <definedName name="jb80mH">'athletes'!$A$197:$C$209</definedName>
    <definedName name="jbdt">'athletes'!$G$320:$I$343</definedName>
    <definedName name="jbhj">'athletes'!$G$190:$I$213</definedName>
    <definedName name="jbht">'athletes'!$G$4:$I$6</definedName>
    <definedName name="jbjt">'athletes'!$G$496:$I$519</definedName>
    <definedName name="jblj">'athletes'!$G$345:$I$365</definedName>
    <definedName name="jbpv">'athletes'!$G$691:$I$692</definedName>
    <definedName name="jbsp">'athletes'!$G$141:$I$163</definedName>
    <definedName name="jbtj">'athletes'!$G$542:$I$569</definedName>
    <definedName name="jg1500m">'athletes'!$A$336:$C$350</definedName>
    <definedName name="jg200m">'athletes'!$A$368:$C$384</definedName>
    <definedName name="jg75mh">'athletes'!$A$171:$C$187</definedName>
    <definedName name="jg800m">'athletes'!$A$106:$C$118</definedName>
    <definedName name="jgdt">'athletes'!$G$165:$I$188</definedName>
    <definedName name="jgHammer">'athletes'!$G$10:$I$11</definedName>
    <definedName name="jghj">'athletes'!$G$367:$I$391</definedName>
    <definedName name="jgHT">'jg'!$B$208:$D$214</definedName>
    <definedName name="jgHThrow">'athletes'!$G$10:$H$11</definedName>
    <definedName name="jgjt">'athletes'!$G$571:$I$592</definedName>
    <definedName name="jglj">'athletes'!$G$118:$I$139</definedName>
    <definedName name="jgpv">'athletes'!$G$707:$I$709</definedName>
    <definedName name="jgsp">'athletes'!$G$295:$I$318</definedName>
    <definedName name="_xlnm.Print_Area" localSheetId="14">'Distance Cards'!$A$1:$Y$712</definedName>
    <definedName name="_xlnm.Print_Area" localSheetId="15">'HeightCards'!$A$1:$AK$238</definedName>
    <definedName name="_xlnm.Print_Area" localSheetId="1">'jg'!$A$1:$M$204</definedName>
    <definedName name="sb100m">'athletes'!$A$301:$C$326</definedName>
    <definedName name="sb110mh">'athletes'!$A$229:$C$234</definedName>
    <definedName name="sb1500m">'athletes'!$A$499:$C$509</definedName>
    <definedName name="sb2000msc">'athletes'!$A$517:$C$523</definedName>
    <definedName name="sb200m">'athletes'!$A$448:$C$451</definedName>
    <definedName name="sb3000m">'athletes'!$A$539:$C$542</definedName>
    <definedName name="sb400m">'athletes'!$A$290:$C$298</definedName>
    <definedName name="sb400mh">'athletes'!$A$16:$C$20</definedName>
    <definedName name="sb800m">'athletes'!$A$162:$C$170</definedName>
    <definedName name="sbdt">'athletes'!$G$236:$I$240</definedName>
    <definedName name="sbhj">'athletes'!$G$60:$I$66</definedName>
    <definedName name="sbht">'athletes'!$G$686:$I$689</definedName>
    <definedName name="sbjt">'athletes'!$G$655:$I$665</definedName>
    <definedName name="sblj">'athletes'!$G$269:$I$277</definedName>
    <definedName name="sbpv">'athletes'!$G$287:$I$293</definedName>
    <definedName name="sbsp">'athletes'!$G$486:$I$494</definedName>
    <definedName name="sbtj">'athletes'!$G$449:$I$459</definedName>
    <definedName name="sg100m">'athletes'!$A$327:$C$335</definedName>
    <definedName name="sg100mh">'athletes'!$A$210:$C$213</definedName>
    <definedName name="sg1500m">'athletes'!$A$470:$C$481</definedName>
    <definedName name="sg1500sc">'athletes'!$A$562:$C$567</definedName>
    <definedName name="sg200m">'athletes'!$A$440:$C$447</definedName>
    <definedName name="sg3000m">'athletes'!$A$552:$C$558</definedName>
    <definedName name="sg300m">'athletes'!$C$153</definedName>
    <definedName name="sg400m">'athletes'!$A$287:$C$289</definedName>
    <definedName name="sg400mh">'athletes'!$A$546:$C$549</definedName>
    <definedName name="sg800m">'athletes'!$A$158:$C$161</definedName>
    <definedName name="sgdt">'athletes'!$G$111:$I$117</definedName>
    <definedName name="sghj">'athletes'!$G$536:$I$541</definedName>
    <definedName name="sght">'athletes'!$G$667:$I$667</definedName>
    <definedName name="sgjt">'athletes'!$G$414:$I$421</definedName>
    <definedName name="sglj">'athletes'!$G$82:$I$90</definedName>
    <definedName name="sgpv">'athletes'!$G$698:$I$703</definedName>
    <definedName name="sgsp">'athletes'!$G$704:$I$708</definedName>
    <definedName name="sgtj">'athletes'!$G$630:$I$635</definedName>
    <definedName name="t2ib400m">'athletes'!$A$335</definedName>
    <definedName name="t2ib400mh">'athletes'!$A$10:$C$14</definedName>
  </definedNames>
  <calcPr fullCalcOnLoad="1"/>
</workbook>
</file>

<file path=xl/sharedStrings.xml><?xml version="1.0" encoding="utf-8"?>
<sst xmlns="http://schemas.openxmlformats.org/spreadsheetml/2006/main" count="4520" uniqueCount="1423">
  <si>
    <t>Posn</t>
  </si>
  <si>
    <t>Bib</t>
  </si>
  <si>
    <t>Athlete</t>
  </si>
  <si>
    <t>Club</t>
  </si>
  <si>
    <t>Perf</t>
  </si>
  <si>
    <t>200m</t>
  </si>
  <si>
    <t>CBP</t>
  </si>
  <si>
    <t>ES</t>
  </si>
  <si>
    <t>NS</t>
  </si>
  <si>
    <t>1st</t>
  </si>
  <si>
    <t>2nd</t>
  </si>
  <si>
    <t>3rd</t>
  </si>
  <si>
    <t>4th</t>
  </si>
  <si>
    <t>5th</t>
  </si>
  <si>
    <t>6th</t>
  </si>
  <si>
    <t>Event</t>
  </si>
  <si>
    <t>WB</t>
  </si>
  <si>
    <t>Points for areas</t>
  </si>
  <si>
    <t>RDG</t>
  </si>
  <si>
    <t>WOK</t>
  </si>
  <si>
    <t>BRK</t>
  </si>
  <si>
    <t>W+M</t>
  </si>
  <si>
    <t>SL</t>
  </si>
  <si>
    <t>Intermediate Girls - U17</t>
  </si>
  <si>
    <t>Points</t>
  </si>
  <si>
    <t>300mH - 11.20</t>
  </si>
  <si>
    <t>ESQ</t>
  </si>
  <si>
    <t>Senior Girls - U19</t>
  </si>
  <si>
    <t>Intermediate Boys - U17</t>
  </si>
  <si>
    <t>Senior Boys - U19</t>
  </si>
  <si>
    <t>Junior Girls - U15</t>
  </si>
  <si>
    <t>100m heats - 11.35</t>
  </si>
  <si>
    <t>Heat 1</t>
  </si>
  <si>
    <t>Heat 2</t>
  </si>
  <si>
    <t>Junior Boys - U15</t>
  </si>
  <si>
    <t>100m heats - 11.45</t>
  </si>
  <si>
    <t>100m heats - 11.50</t>
  </si>
  <si>
    <t>800m final - 12.10</t>
  </si>
  <si>
    <t>800m final - 12.15</t>
  </si>
  <si>
    <t>800m final - 12.20</t>
  </si>
  <si>
    <t>80mH heats - 12.45</t>
  </si>
  <si>
    <t>100m final - 1.50</t>
  </si>
  <si>
    <t>100m final - 2.00</t>
  </si>
  <si>
    <t>1500m final - 2.15</t>
  </si>
  <si>
    <t>Track</t>
  </si>
  <si>
    <t>Field</t>
  </si>
  <si>
    <t>Hammer 9.30</t>
  </si>
  <si>
    <t>Long Jump - 10.00</t>
  </si>
  <si>
    <t>Discus - 10.15</t>
  </si>
  <si>
    <t>Long Jump - 10.50</t>
  </si>
  <si>
    <t>Discus - 11.00</t>
  </si>
  <si>
    <t>High Jump - 11.30</t>
  </si>
  <si>
    <t>Discus - 11.45</t>
  </si>
  <si>
    <t>Long Jump - 11.50</t>
  </si>
  <si>
    <t>Discus - 12.45</t>
  </si>
  <si>
    <t>Long Jump - 12.45</t>
  </si>
  <si>
    <t>High Jump - 1.00</t>
  </si>
  <si>
    <t>Javelin - 1.30</t>
  </si>
  <si>
    <t>Triple Jump - 1.45</t>
  </si>
  <si>
    <t>Javelin - 2.15</t>
  </si>
  <si>
    <t>High Jump - 2.30</t>
  </si>
  <si>
    <t>Triple Jump  - 2.45</t>
  </si>
  <si>
    <t>Javelin - 3.20</t>
  </si>
  <si>
    <t>Triple Jump - 3.45</t>
  </si>
  <si>
    <t>Javelin - 4.15</t>
  </si>
  <si>
    <t>100m</t>
  </si>
  <si>
    <t>800m</t>
  </si>
  <si>
    <t>1500m</t>
  </si>
  <si>
    <t>75mH</t>
  </si>
  <si>
    <t>LJ</t>
  </si>
  <si>
    <t>DT</t>
  </si>
  <si>
    <t>SP</t>
  </si>
  <si>
    <t>HJ</t>
  </si>
  <si>
    <t>JT</t>
  </si>
  <si>
    <t>Total:</t>
  </si>
  <si>
    <t>No of events:</t>
  </si>
  <si>
    <t>400m</t>
  </si>
  <si>
    <t>80mH</t>
  </si>
  <si>
    <t>HT</t>
  </si>
  <si>
    <t>PV</t>
  </si>
  <si>
    <t>TJ</t>
  </si>
  <si>
    <t>300m</t>
  </si>
  <si>
    <t>3000m</t>
  </si>
  <si>
    <t>300mH</t>
  </si>
  <si>
    <t>100mH</t>
  </si>
  <si>
    <t>400mH</t>
  </si>
  <si>
    <t>2000SC</t>
  </si>
  <si>
    <t>110mH</t>
  </si>
  <si>
    <t>Declarations</t>
  </si>
  <si>
    <t>TRACK EVENTS</t>
  </si>
  <si>
    <t xml:space="preserve">  </t>
  </si>
  <si>
    <t>HEAT 1</t>
  </si>
  <si>
    <t>W&amp;M</t>
  </si>
  <si>
    <t>HEAT 2</t>
  </si>
  <si>
    <t xml:space="preserve">   </t>
  </si>
  <si>
    <t xml:space="preserve">HEAT 2 </t>
  </si>
  <si>
    <t xml:space="preserve">                                                                                                                         </t>
  </si>
  <si>
    <t xml:space="preserve">          </t>
  </si>
  <si>
    <t xml:space="preserve">HEAT 1 </t>
  </si>
  <si>
    <t xml:space="preserve">         </t>
  </si>
  <si>
    <t xml:space="preserve">                     </t>
  </si>
  <si>
    <t xml:space="preserve">                                                                                       .         </t>
  </si>
  <si>
    <t xml:space="preserve">                                                                                     </t>
  </si>
  <si>
    <t xml:space="preserve">                                                  </t>
  </si>
  <si>
    <t xml:space="preserve"> FIELD EVENTS </t>
  </si>
  <si>
    <t xml:space="preserve">                            </t>
  </si>
  <si>
    <t xml:space="preserve">                           </t>
  </si>
  <si>
    <t xml:space="preserve"> </t>
  </si>
  <si>
    <t xml:space="preserve">                                                                                </t>
  </si>
  <si>
    <t xml:space="preserve">                             </t>
  </si>
  <si>
    <t xml:space="preserve">              </t>
  </si>
  <si>
    <t xml:space="preserve">                                                                                                </t>
  </si>
  <si>
    <t xml:space="preserve">                                                                                  </t>
  </si>
  <si>
    <t>1500mSC</t>
  </si>
  <si>
    <t>Qualifiers</t>
  </si>
  <si>
    <t>Events</t>
  </si>
  <si>
    <t>JG</t>
  </si>
  <si>
    <t>JB</t>
  </si>
  <si>
    <t>IG</t>
  </si>
  <si>
    <t>IB</t>
  </si>
  <si>
    <t>SG</t>
  </si>
  <si>
    <t>SB</t>
  </si>
  <si>
    <t>Total</t>
  </si>
  <si>
    <t>Q</t>
  </si>
  <si>
    <t>Junior Girls (Under 15)</t>
  </si>
  <si>
    <t>Junior Boys (Under 15)</t>
  </si>
  <si>
    <t>Intermediate Boys (Under 17)</t>
  </si>
  <si>
    <t>Intermediate Girls (Under 17)</t>
  </si>
  <si>
    <t>Senior Girls (Under 19)</t>
  </si>
  <si>
    <t>Senior Boys  (Under 19)</t>
  </si>
  <si>
    <t>400mH - 11.30</t>
  </si>
  <si>
    <t>100m heats - 12.00</t>
  </si>
  <si>
    <t>800m final - 12.25</t>
  </si>
  <si>
    <t>800m final - 12.30</t>
  </si>
  <si>
    <t>75mH heats - 12.35</t>
  </si>
  <si>
    <t>80mH heats - 12.55</t>
  </si>
  <si>
    <t>300m heats - 1.25</t>
  </si>
  <si>
    <t>400m Final - 1.45</t>
  </si>
  <si>
    <t>100m final - 2.05</t>
  </si>
  <si>
    <t>1500m final - 2.20</t>
  </si>
  <si>
    <t>100mH Heats - 1.05</t>
  </si>
  <si>
    <t>High Jump - 9.45</t>
  </si>
  <si>
    <t>Shot Putt - 10.15</t>
  </si>
  <si>
    <t>Pole Vault - 10.30</t>
  </si>
  <si>
    <t>Shot Putt - 11.30</t>
  </si>
  <si>
    <t>Shot Putt - 12.45</t>
  </si>
  <si>
    <t>Shott Putt - 2.00</t>
  </si>
  <si>
    <t>UK ATHLETICS: DISTANCE CARD</t>
  </si>
  <si>
    <r>
      <t>MEETING</t>
    </r>
    <r>
      <rPr>
        <sz val="10"/>
        <rFont val="Abadi MT Condensed Light"/>
        <family val="2"/>
      </rPr>
      <t xml:space="preserve"> </t>
    </r>
  </si>
  <si>
    <r>
      <t>VENUE</t>
    </r>
    <r>
      <rPr>
        <sz val="10"/>
        <rFont val="Abadi MT Condensed Light"/>
        <family val="2"/>
      </rPr>
      <t xml:space="preserve"> </t>
    </r>
  </si>
  <si>
    <t xml:space="preserve">DATE </t>
  </si>
  <si>
    <t>TIME</t>
  </si>
  <si>
    <t>Record</t>
  </si>
  <si>
    <t>UK Best</t>
  </si>
  <si>
    <t>Order</t>
  </si>
  <si>
    <t>No</t>
  </si>
  <si>
    <t>NAME</t>
  </si>
  <si>
    <t>CLUB</t>
  </si>
  <si>
    <t>1st Trial</t>
  </si>
  <si>
    <t>2nd Trial</t>
  </si>
  <si>
    <t>3rd Trial</t>
  </si>
  <si>
    <t>Best of 3</t>
  </si>
  <si>
    <t>Position after
3 Trials</t>
  </si>
  <si>
    <t>4th Trial</t>
  </si>
  <si>
    <t>5th Trial</t>
  </si>
  <si>
    <t>6th Trial</t>
  </si>
  <si>
    <t>Best of All</t>
  </si>
  <si>
    <t>Final
Positionn</t>
  </si>
  <si>
    <t>A or B</t>
  </si>
  <si>
    <t>Metres</t>
  </si>
  <si>
    <t>A</t>
  </si>
  <si>
    <t>B</t>
  </si>
  <si>
    <t>RESULT</t>
  </si>
  <si>
    <t>JUDGES' SIGNATURES</t>
  </si>
  <si>
    <t>No.</t>
  </si>
  <si>
    <t>DISTANCE</t>
  </si>
  <si>
    <t>REFEREE'S SIGNATURE</t>
  </si>
  <si>
    <t>Berkshire Schools T &amp; F Championships</t>
  </si>
  <si>
    <t>UK ATHLETICS: HEIGHT CARD</t>
  </si>
  <si>
    <t>EVENT</t>
  </si>
  <si>
    <t>Trials at
Ht Cleared</t>
  </si>
  <si>
    <t>Total 
Failures</t>
  </si>
  <si>
    <t>Total
Trials</t>
  </si>
  <si>
    <t>HEIGHT</t>
  </si>
  <si>
    <t xml:space="preserve">Hammer </t>
  </si>
  <si>
    <t>F1 U15 Boys</t>
  </si>
  <si>
    <t>High Jump</t>
  </si>
  <si>
    <t>9.45am</t>
  </si>
  <si>
    <t>Long Jump</t>
  </si>
  <si>
    <t>10.00am</t>
  </si>
  <si>
    <t>Discus</t>
  </si>
  <si>
    <t>10.15am</t>
  </si>
  <si>
    <t>Shot</t>
  </si>
  <si>
    <t xml:space="preserve">High Jump </t>
  </si>
  <si>
    <t>Pole Vault</t>
  </si>
  <si>
    <t>10.30am</t>
  </si>
  <si>
    <t>10.50am</t>
  </si>
  <si>
    <t>11.00am</t>
  </si>
  <si>
    <t>11.30am</t>
  </si>
  <si>
    <t>11.45am</t>
  </si>
  <si>
    <t>11.50am</t>
  </si>
  <si>
    <t>12.45pm</t>
  </si>
  <si>
    <t>1.00pm</t>
  </si>
  <si>
    <t>Javelin</t>
  </si>
  <si>
    <t>1.30pm</t>
  </si>
  <si>
    <t>Triple Jump</t>
  </si>
  <si>
    <t>1.45pm</t>
  </si>
  <si>
    <t>2.30pm</t>
  </si>
  <si>
    <t>2.45pm</t>
  </si>
  <si>
    <t>4.15pm</t>
  </si>
  <si>
    <t>EVENT:</t>
  </si>
  <si>
    <t>Venue:</t>
  </si>
  <si>
    <t>Date:</t>
  </si>
  <si>
    <t>M Hollyfield RDG 2002</t>
  </si>
  <si>
    <t>K Heath (WOK) 1993</t>
  </si>
  <si>
    <t>400mH - 11.35</t>
  </si>
  <si>
    <t>A Newton (M&amp;W) 1995</t>
  </si>
  <si>
    <t>M Miles (BRK) 1980</t>
  </si>
  <si>
    <t>100m heats - 11.55</t>
  </si>
  <si>
    <t>100m final - 12.00</t>
  </si>
  <si>
    <t>H King (BRK) 1978</t>
  </si>
  <si>
    <t>W Lunn (RDG) 1983</t>
  </si>
  <si>
    <t>J Heanley (WOK) 1995</t>
  </si>
  <si>
    <t>J Henderson (WOK) 2009</t>
  </si>
  <si>
    <t>J Cooper (NWB) 1983</t>
  </si>
  <si>
    <t>S Pullinger (BRK) 1999</t>
  </si>
  <si>
    <t>80mH Final - 12.45</t>
  </si>
  <si>
    <t>100mH Final - 1.05</t>
  </si>
  <si>
    <t>R Reynolds (BRK) 2008</t>
  </si>
  <si>
    <t>100mH Final - 1.10</t>
  </si>
  <si>
    <t>N Czemiczky (WOK) 1991</t>
  </si>
  <si>
    <t>110mH Final - 1.20</t>
  </si>
  <si>
    <t>N Czemiczky (RDG) 1994</t>
  </si>
  <si>
    <t>L Owusu (SL) 1994</t>
  </si>
  <si>
    <t xml:space="preserve">M Richardson (M&amp;W) </t>
  </si>
  <si>
    <t>400m heats - 1.40</t>
  </si>
  <si>
    <t xml:space="preserve">400m Final - </t>
  </si>
  <si>
    <t>L Owuso (SL) 1997; S Oskan (SL) 2008</t>
  </si>
  <si>
    <t>100m final - 1.55</t>
  </si>
  <si>
    <t>75mH Final - 2.25</t>
  </si>
  <si>
    <t>80mH Final - 2.30</t>
  </si>
  <si>
    <t>200m heats - 2.35</t>
  </si>
  <si>
    <t>S Jacobs (RDG) 1981</t>
  </si>
  <si>
    <t>M Baatz (WOK) 2009</t>
  </si>
  <si>
    <t>200m heats - 2.40</t>
  </si>
  <si>
    <t>200m heats - 2.45</t>
  </si>
  <si>
    <t>C Monye (SL) 2006</t>
  </si>
  <si>
    <t>S Dorset (BRK) 1984</t>
  </si>
  <si>
    <t>200m heats - 2.50</t>
  </si>
  <si>
    <t>200m final - 2.55</t>
  </si>
  <si>
    <t>S Eden (WOK) 1983</t>
  </si>
  <si>
    <t>300m Final - 3.00</t>
  </si>
  <si>
    <t>400m final - 3.10</t>
  </si>
  <si>
    <t>1500m final - 3.15</t>
  </si>
  <si>
    <t>C Fairbrass (RDG) 1980</t>
  </si>
  <si>
    <t>B Madigan (SL) 1978</t>
  </si>
  <si>
    <t>1500m final - 3.25</t>
  </si>
  <si>
    <t>C Bolt (BRK) 1997</t>
  </si>
  <si>
    <t>1500m final - 3.30</t>
  </si>
  <si>
    <t>D Brockwell (M&amp;W) 1982</t>
  </si>
  <si>
    <t>1500m SC final - 3.40</t>
  </si>
  <si>
    <t>2000m Steeple chase - 3.40</t>
  </si>
  <si>
    <t>200m Final - 3.50</t>
  </si>
  <si>
    <t>200m final - 3.55</t>
  </si>
  <si>
    <t>200m Final - 4.00</t>
  </si>
  <si>
    <t>200m final - 4.05</t>
  </si>
  <si>
    <t xml:space="preserve">3000m final - 4.10 </t>
  </si>
  <si>
    <t>3000m final -no entries</t>
  </si>
  <si>
    <t>3000m final - 4.10</t>
  </si>
  <si>
    <t>R Dooney (BRK) 1985</t>
  </si>
  <si>
    <t>A Tollputt (SL) 1982</t>
  </si>
  <si>
    <t>A Tollputt (SL) 1984</t>
  </si>
  <si>
    <t>Hammer - 9.30</t>
  </si>
  <si>
    <t>A Tollputt (SL) 1985</t>
  </si>
  <si>
    <t>H Broadbridge (WB) 2007</t>
  </si>
  <si>
    <t>A Weston (RDG) 1992</t>
  </si>
  <si>
    <t>J Dear (SL) 1993</t>
  </si>
  <si>
    <t>C Bradley (BRK) 1984</t>
  </si>
  <si>
    <t>J Picton (M&amp;W) 1981</t>
  </si>
  <si>
    <t>J South (NWB) 1986</t>
  </si>
  <si>
    <t>S Bird (M&amp;W) 1986</t>
  </si>
  <si>
    <t>S Cook (WOK) 1991</t>
  </si>
  <si>
    <t>R Hyam (BRK)</t>
  </si>
  <si>
    <t>C Trimby (NWB)</t>
  </si>
  <si>
    <t>S Biddlecombe (BRK)</t>
  </si>
  <si>
    <t>O Ibru (SL) 1991</t>
  </si>
  <si>
    <t>M John (SL) 1985</t>
  </si>
  <si>
    <t>P Squire (M&amp;W) 1989</t>
  </si>
  <si>
    <t>E Imbu (SL)</t>
  </si>
  <si>
    <t>M John (SL) 1983</t>
  </si>
  <si>
    <t>J South (NWB) 1988</t>
  </si>
  <si>
    <t>P. Michell (WOK) 1992</t>
  </si>
  <si>
    <t>S Ogwudu (NWB)</t>
  </si>
  <si>
    <t>E Lake (SL) 1986</t>
  </si>
  <si>
    <t>L Newton (RDG) 1976</t>
  </si>
  <si>
    <t>S Murdoch (M&amp;W) 1978</t>
  </si>
  <si>
    <t>S Anderson (SL) 1979</t>
  </si>
  <si>
    <t>S Whight (WOK) 2007</t>
  </si>
  <si>
    <t>S Bird (W&amp;M) 1991</t>
  </si>
  <si>
    <t>A Whiting (BRK) 1991</t>
  </si>
  <si>
    <t>Codes</t>
  </si>
  <si>
    <t>CBP - 69.10m - ESQ 38.00M</t>
  </si>
  <si>
    <t>CBP - 72.70m - ESQ 50.00M</t>
  </si>
  <si>
    <t>CBP - 5.89m  - ESQ 5.40m</t>
  </si>
  <si>
    <t>CBP - 45.58m  - ESQ 36.00m</t>
  </si>
  <si>
    <t>CBP - 45.58m  - ESQ 33.00m</t>
  </si>
  <si>
    <t>CBP - 15.26m  - ESQ 12.30m</t>
  </si>
  <si>
    <t>CBP - 5.43m  - ESQ 5.05m</t>
  </si>
  <si>
    <t>CBP - 38.18m  - ESQ 27.00m</t>
  </si>
  <si>
    <t>CBP - 6.86m  - ESQ 6.40m</t>
  </si>
  <si>
    <t>CBP - 47.45m  - ESQ 34.00m</t>
  </si>
  <si>
    <t>CBP - 6.40m  - ESQ 5.70m</t>
  </si>
  <si>
    <t>CBP - 15.41m  - ESQ 13.20m</t>
  </si>
  <si>
    <t>CBP - 14.10m  - ESQ 13.00m</t>
  </si>
  <si>
    <t>CBP - 14.00m  - ESQ 13.20m</t>
  </si>
  <si>
    <t>CBP - 15.28m  - ESQ 13.90m</t>
  </si>
  <si>
    <t>CBP - 47.06m  - ESQ 43.00m</t>
  </si>
  <si>
    <t>CBP - 13.60m  - ESQ 12.00m</t>
  </si>
  <si>
    <t>CBP - 62.00m  - ESQ 52.00m</t>
  </si>
  <si>
    <t>Berkshire Schools T &amp; F Champs</t>
  </si>
  <si>
    <t>CBP - 1.83m - ESQ 1.72m</t>
  </si>
  <si>
    <t>CBP - 1.70m - ESQ 1.62m</t>
  </si>
  <si>
    <t>L Morris (WOK) 2010</t>
  </si>
  <si>
    <t>G Lamothe (WOK) 2010</t>
  </si>
  <si>
    <t>A Walker (W&amp;M) 2010</t>
  </si>
  <si>
    <t>D Smith (SL) 2010</t>
  </si>
  <si>
    <t>M Seddon (WOK) 2010</t>
  </si>
  <si>
    <t>Z Seddon (WOK) 2010</t>
  </si>
  <si>
    <t>H Broadbridge (WB) 2010</t>
  </si>
  <si>
    <t>L-M Fisher (BRK) 2010</t>
  </si>
  <si>
    <t>G Westwood (RDG) 2010</t>
  </si>
  <si>
    <t>9.15am</t>
  </si>
  <si>
    <t>F19 U15 Girls</t>
  </si>
  <si>
    <t>CBP - 46.92m  - ESQ 41.00m</t>
  </si>
  <si>
    <t>F30 U15 Boys</t>
  </si>
  <si>
    <t>CBP - 1.67m - ESQ 1.57m</t>
  </si>
  <si>
    <t>11.15am</t>
  </si>
  <si>
    <t>3.30pm</t>
  </si>
  <si>
    <t>4.00pm</t>
  </si>
  <si>
    <t>CBP - 1.75m - ESQ 1.66m</t>
  </si>
  <si>
    <t>S Rayment (BRK 2011)</t>
  </si>
  <si>
    <t>N Swaffield (W&amp;M) 2011</t>
  </si>
  <si>
    <t>M Galliers (SL) 2005; A Thomas (BRK) 2011</t>
  </si>
  <si>
    <t>J Davies (RDG) 2011</t>
  </si>
  <si>
    <t>F Fabunmi-Alade (RDG) 2011</t>
  </si>
  <si>
    <t>H Johnson (W&amp;M) 2011</t>
  </si>
  <si>
    <t>P Dimmock (SL) 1973; P Rogan (RDG) 2011</t>
  </si>
  <si>
    <t>L-M Fisher (RDG) 2011</t>
  </si>
  <si>
    <t>C Bolt (BRK); M White (WOK) 2011</t>
  </si>
  <si>
    <t>Z Seddon (WOK) 2011</t>
  </si>
  <si>
    <t>C Smith (W&amp;M) 2011</t>
  </si>
  <si>
    <t>F1  9.15 HAMMER U15 BOYS</t>
  </si>
  <si>
    <t>Bracknell</t>
  </si>
  <si>
    <t>Final</t>
  </si>
  <si>
    <t>1500m  steeplechase final - 4.05</t>
  </si>
  <si>
    <t>1500sc</t>
  </si>
  <si>
    <t>CBP - 2.11m - ESQ 1.94m</t>
  </si>
  <si>
    <t>CBP - 2.85m - ESQ 2.95m</t>
  </si>
  <si>
    <t>CBP - 3.00m - ESQ 2.80m</t>
  </si>
  <si>
    <t>CBP - 13.63m  - ESQ 11.40m</t>
  </si>
  <si>
    <t>Palmer Park</t>
  </si>
  <si>
    <t>CBP - 39.48m  - ESQ 34.00M</t>
  </si>
  <si>
    <t>CBP - 64.36m  - ESQ 46.00M</t>
  </si>
  <si>
    <t>CBP - 49.39m  - ESQ 37.00M</t>
  </si>
  <si>
    <t>CBP - 44.98m  - ESQ 40.00m</t>
  </si>
  <si>
    <t xml:space="preserve">Palmer Park </t>
  </si>
  <si>
    <t>CBP - 3.55m - ESQ 3.80m</t>
  </si>
  <si>
    <t xml:space="preserve">                       </t>
  </si>
  <si>
    <t>Saturday 14th June 2014</t>
  </si>
  <si>
    <t>CBP 5.80  ESQ 5.25m</t>
  </si>
  <si>
    <t>Saturday 14th Jun3 2014</t>
  </si>
  <si>
    <t xml:space="preserve">Saturday 14th June 2014 </t>
  </si>
  <si>
    <t xml:space="preserve"> Saturday 14th June 2014</t>
  </si>
  <si>
    <t>Saturday 14th june 2014</t>
  </si>
  <si>
    <t>F3 U17 Boys</t>
  </si>
  <si>
    <t>F4 U17 Girls</t>
  </si>
  <si>
    <t>F5 U19 Boys</t>
  </si>
  <si>
    <t>F6 U19 Girls</t>
  </si>
  <si>
    <t>F9 U17 Girls</t>
  </si>
  <si>
    <t>F10 U19 Girls</t>
  </si>
  <si>
    <t>F12 U17 Girls</t>
  </si>
  <si>
    <t>F13 U19 Girls</t>
  </si>
  <si>
    <t>F11 U15 Boys</t>
  </si>
  <si>
    <t>F20 U15 Girls</t>
  </si>
  <si>
    <t>F37 U15 Girls</t>
  </si>
  <si>
    <t>F24 U17 Boys</t>
  </si>
  <si>
    <t>F25 U19 Boys</t>
  </si>
  <si>
    <t>F26 U17 Boys</t>
  </si>
  <si>
    <t>F27 U19 Boys</t>
  </si>
  <si>
    <t>F31 U15 Boys</t>
  </si>
  <si>
    <t>F28 U17 Boys</t>
  </si>
  <si>
    <t>F29 U19 Boys</t>
  </si>
  <si>
    <t>F33 U17 Girls</t>
  </si>
  <si>
    <t>F34 U19 Girls</t>
  </si>
  <si>
    <t>F35 U17 Boys</t>
  </si>
  <si>
    <t>F36 U19 Boys</t>
  </si>
  <si>
    <t>F21 U17 Girls</t>
  </si>
  <si>
    <t>F22 U19 Girls</t>
  </si>
  <si>
    <t>F38 U15 Boys</t>
  </si>
  <si>
    <t>F41 U15 Boys</t>
  </si>
  <si>
    <t>F42 U15 Girls</t>
  </si>
  <si>
    <t>F43 U17 Girls</t>
  </si>
  <si>
    <t>F44 U19 Girls</t>
  </si>
  <si>
    <t>F46 U17 Boys</t>
  </si>
  <si>
    <t>F47 U19 Boys</t>
  </si>
  <si>
    <t>F7 U17 Boys</t>
  </si>
  <si>
    <t>F14 U15 Boys</t>
  </si>
  <si>
    <t>F15 U17 Girls</t>
  </si>
  <si>
    <t>F16 U17 Boys</t>
  </si>
  <si>
    <t>F17 U19 Girls</t>
  </si>
  <si>
    <t>F18 U19 Boys</t>
  </si>
  <si>
    <t>F23 U15 Boys</t>
  </si>
  <si>
    <t>F33 U15 Girls</t>
  </si>
  <si>
    <t>F39 U17 Girls</t>
  </si>
  <si>
    <t>F40 U19 Girls</t>
  </si>
  <si>
    <t>F8 U19 Boys</t>
  </si>
  <si>
    <t>F2 U15 Girls</t>
  </si>
  <si>
    <t>ESQ 34.00m</t>
  </si>
  <si>
    <t xml:space="preserve"> ESQ 11.00m</t>
  </si>
  <si>
    <t>CBP - 7.02m  - ESQ 6.80m</t>
  </si>
  <si>
    <t xml:space="preserve"> ESQ 37.00m</t>
  </si>
  <si>
    <t>CBP - 40.00m  - ESQ 37.00m</t>
  </si>
  <si>
    <t xml:space="preserve"> ESQ 10.00m</t>
  </si>
  <si>
    <t xml:space="preserve"> ESQ 30.00m</t>
  </si>
  <si>
    <t>CBP - 10.95m  - ESQ 10.70m</t>
  </si>
  <si>
    <t>CBP - 11.73m  - ESQ 11.10m</t>
  </si>
  <si>
    <t>CBP - 58.66m  - ESQ 52.00m</t>
  </si>
  <si>
    <t>CBP - 2.00m - ESQ 1.90m</t>
  </si>
  <si>
    <t>CBP - 2.70m - ESQ 3.00m</t>
  </si>
  <si>
    <t>CBP - 4.10m - ESQ 4.10m</t>
  </si>
  <si>
    <t xml:space="preserve">F2 9.15 </t>
  </si>
  <si>
    <t>HAMMER U15 GIRLS</t>
  </si>
  <si>
    <t>F.3    9.15 HAMMER U17 BOYS</t>
  </si>
  <si>
    <t>F4   9.15 HAMMER U17  GIRLS</t>
  </si>
  <si>
    <t>F10 10:00 Long Jump u19 girls</t>
  </si>
  <si>
    <t>F4 9.30 Hammer U19 Boys</t>
  </si>
  <si>
    <t>O.Hewitt</t>
  </si>
  <si>
    <t>B.Campbell</t>
  </si>
  <si>
    <t>J.Kuenhnel</t>
  </si>
  <si>
    <t>J.Stidder</t>
  </si>
  <si>
    <t>J.Norris</t>
  </si>
  <si>
    <t>L Ruhnacles</t>
  </si>
  <si>
    <t>L.Merry</t>
  </si>
  <si>
    <t>J.Powell</t>
  </si>
  <si>
    <t>T Murphy</t>
  </si>
  <si>
    <t>J.Osler</t>
  </si>
  <si>
    <t>J.McGonigle</t>
  </si>
  <si>
    <t>K.Jordan</t>
  </si>
  <si>
    <t>C.Broad</t>
  </si>
  <si>
    <t>K.Joll</t>
  </si>
  <si>
    <t>S.Hewitt</t>
  </si>
  <si>
    <t>F.Gilbert</t>
  </si>
  <si>
    <t>J.Osei-Tutu</t>
  </si>
  <si>
    <t>A.Idikwu</t>
  </si>
  <si>
    <t>E.Nall</t>
  </si>
  <si>
    <t>G.Taylor</t>
  </si>
  <si>
    <t>l.Quinn</t>
  </si>
  <si>
    <t>B.Russel</t>
  </si>
  <si>
    <t>M.Letman</t>
  </si>
  <si>
    <t>M Wilson</t>
  </si>
  <si>
    <t>S.Billing</t>
  </si>
  <si>
    <t>G Lockyear</t>
  </si>
  <si>
    <t>A.Whitehead</t>
  </si>
  <si>
    <t>A.Wilcox</t>
  </si>
  <si>
    <t>K.Marsham</t>
  </si>
  <si>
    <t>A.Haigh-Elery</t>
  </si>
  <si>
    <t>J.Freeman</t>
  </si>
  <si>
    <t>H.Coupe</t>
  </si>
  <si>
    <t>A.James</t>
  </si>
  <si>
    <t>L.Bennett</t>
  </si>
  <si>
    <t>Y.Nicholson</t>
  </si>
  <si>
    <t>T.Edwards</t>
  </si>
  <si>
    <t>C.Strong</t>
  </si>
  <si>
    <t>J.HH</t>
  </si>
  <si>
    <t>M.Whitton</t>
  </si>
  <si>
    <t>L.Piper</t>
  </si>
  <si>
    <t>S.Drakeford-Lewis</t>
  </si>
  <si>
    <t>E.Warren</t>
  </si>
  <si>
    <t>J.Turner</t>
  </si>
  <si>
    <t>L.King</t>
  </si>
  <si>
    <t>I.Deacon</t>
  </si>
  <si>
    <t>D.Tosin Talibb</t>
  </si>
  <si>
    <t>K.Stephens</t>
  </si>
  <si>
    <t>R.Hare</t>
  </si>
  <si>
    <t>J.McCallum</t>
  </si>
  <si>
    <t>A.Seddon</t>
  </si>
  <si>
    <t>J.Robinson</t>
  </si>
  <si>
    <t>H.Jones</t>
  </si>
  <si>
    <t>A.Slater</t>
  </si>
  <si>
    <t>K.Blyson</t>
  </si>
  <si>
    <t>D.Hudson</t>
  </si>
  <si>
    <t>Ashdown-Taylor</t>
  </si>
  <si>
    <t>G.Smith</t>
  </si>
  <si>
    <t>R.Boisson</t>
  </si>
  <si>
    <t>J.Fawcett</t>
  </si>
  <si>
    <t>D.McElvenny</t>
  </si>
  <si>
    <t>V.Federov</t>
  </si>
  <si>
    <t>H.Westerman</t>
  </si>
  <si>
    <t>A.Turnbull</t>
  </si>
  <si>
    <t>U.Bshir</t>
  </si>
  <si>
    <t>A.Courtois-Gritsanchouk</t>
  </si>
  <si>
    <t>J.Twala</t>
  </si>
  <si>
    <t>A.Spratley-Kemp</t>
  </si>
  <si>
    <t>S.Trapani</t>
  </si>
  <si>
    <t>C.Stuckes</t>
  </si>
  <si>
    <t>C.Jones</t>
  </si>
  <si>
    <t>KJ.Stevens</t>
  </si>
  <si>
    <t>C.Stacey</t>
  </si>
  <si>
    <t>A.Roberts</t>
  </si>
  <si>
    <t>E.Wilson</t>
  </si>
  <si>
    <t>A.Pearce</t>
  </si>
  <si>
    <t>A.Thorington</t>
  </si>
  <si>
    <t>C.Mcafferty</t>
  </si>
  <si>
    <t>S.White</t>
  </si>
  <si>
    <t>R.Palmer</t>
  </si>
  <si>
    <t>R.King</t>
  </si>
  <si>
    <t>T.Gunter</t>
  </si>
  <si>
    <t>D.Scott</t>
  </si>
  <si>
    <t>M.Tait</t>
  </si>
  <si>
    <t>D.Rochester</t>
  </si>
  <si>
    <t>H.Henderson</t>
  </si>
  <si>
    <t>T.Evans</t>
  </si>
  <si>
    <t>L.Daeschler</t>
  </si>
  <si>
    <t>D.Medford</t>
  </si>
  <si>
    <t>S.Ojunlel</t>
  </si>
  <si>
    <t>M.Nower</t>
  </si>
  <si>
    <t>J.Manning</t>
  </si>
  <si>
    <t>D.Eggleton</t>
  </si>
  <si>
    <t>J.Know</t>
  </si>
  <si>
    <t>J.Wo Bae</t>
  </si>
  <si>
    <t>J.Pryor</t>
  </si>
  <si>
    <t>L.Simmonds</t>
  </si>
  <si>
    <t>B.Court</t>
  </si>
  <si>
    <t>Ja.Greenlaw</t>
  </si>
  <si>
    <t>Jo.Greenlaw</t>
  </si>
  <si>
    <t>T.Little</t>
  </si>
  <si>
    <t>L.Simmons</t>
  </si>
  <si>
    <t>R.Wilde</t>
  </si>
  <si>
    <t>M.Berr-Hargreaves</t>
  </si>
  <si>
    <t>J.Margetts</t>
  </si>
  <si>
    <t>K.Obenu</t>
  </si>
  <si>
    <t>A.McCallum</t>
  </si>
  <si>
    <t>S.King</t>
  </si>
  <si>
    <t>D.Amon</t>
  </si>
  <si>
    <t>L.Young</t>
  </si>
  <si>
    <t>S.Lattey</t>
  </si>
  <si>
    <t>T.Howe</t>
  </si>
  <si>
    <t>M.George</t>
  </si>
  <si>
    <t>B.Howarth</t>
  </si>
  <si>
    <t>E.Farquhar</t>
  </si>
  <si>
    <t>L.Meek</t>
  </si>
  <si>
    <t>T.Papke</t>
  </si>
  <si>
    <t>O.Carr-Middleton</t>
  </si>
  <si>
    <t>Y.Bryan</t>
  </si>
  <si>
    <t>M.Goldhawk</t>
  </si>
  <si>
    <t>I.Roberts</t>
  </si>
  <si>
    <t>T.Sonubi</t>
  </si>
  <si>
    <t>E.Harris</t>
  </si>
  <si>
    <t>E.Prestedge</t>
  </si>
  <si>
    <t>A.Miller</t>
  </si>
  <si>
    <t>M.Horler</t>
  </si>
  <si>
    <t>J.Shaw</t>
  </si>
  <si>
    <t>L.Ronnacles</t>
  </si>
  <si>
    <t>J.Harding</t>
  </si>
  <si>
    <t>N.de Silva</t>
  </si>
  <si>
    <t>S.Kolowade</t>
  </si>
  <si>
    <t>K.Patrick</t>
  </si>
  <si>
    <t>A.Charles</t>
  </si>
  <si>
    <t>L.Carty</t>
  </si>
  <si>
    <t>E.Imi</t>
  </si>
  <si>
    <t>C.Allen</t>
  </si>
  <si>
    <t>J.Teeder</t>
  </si>
  <si>
    <t>H.Tamer</t>
  </si>
  <si>
    <t>A.Turton</t>
  </si>
  <si>
    <t>C.Ewing</t>
  </si>
  <si>
    <t>S.Seymour</t>
  </si>
  <si>
    <t>T.Holland</t>
  </si>
  <si>
    <t>M.Herbert</t>
  </si>
  <si>
    <t>R.Tanner</t>
  </si>
  <si>
    <t>C.Panesar</t>
  </si>
  <si>
    <t>H.Weinberger</t>
  </si>
  <si>
    <t>E.Thorne</t>
  </si>
  <si>
    <t>R.Higgins</t>
  </si>
  <si>
    <t>D.Nawah</t>
  </si>
  <si>
    <t>E.Spackman</t>
  </si>
  <si>
    <t>M.Cooper</t>
  </si>
  <si>
    <t>E.Houston</t>
  </si>
  <si>
    <t>P.Jones</t>
  </si>
  <si>
    <t>B.Buencamino</t>
  </si>
  <si>
    <t>E.Young</t>
  </si>
  <si>
    <t>J.Armotrading</t>
  </si>
  <si>
    <t>G.Pigo</t>
  </si>
  <si>
    <t>A.Weller</t>
  </si>
  <si>
    <t>M.Bates</t>
  </si>
  <si>
    <t>K.Edwards</t>
  </si>
  <si>
    <t>C.Brown</t>
  </si>
  <si>
    <t>A.Thornton</t>
  </si>
  <si>
    <t>C.Nelson</t>
  </si>
  <si>
    <t>R.Stanton</t>
  </si>
  <si>
    <t>G.Dopson</t>
  </si>
  <si>
    <t>L.Bunce</t>
  </si>
  <si>
    <t>N.McGuigan</t>
  </si>
  <si>
    <t>V.Saunders</t>
  </si>
  <si>
    <t>K.Barrow</t>
  </si>
  <si>
    <t>G.Dawson</t>
  </si>
  <si>
    <t>K.Jones</t>
  </si>
  <si>
    <t>K.West</t>
  </si>
  <si>
    <t>C.Wood</t>
  </si>
  <si>
    <t>C.Frimpong</t>
  </si>
  <si>
    <t>R.McNeill</t>
  </si>
  <si>
    <t>P.Hagger</t>
  </si>
  <si>
    <t>E.Dixon</t>
  </si>
  <si>
    <t>D.Ogbokwe</t>
  </si>
  <si>
    <t>S.Challis</t>
  </si>
  <si>
    <t>A.Hayden-Wilson</t>
  </si>
  <si>
    <t>R.Morville</t>
  </si>
  <si>
    <t>T.Frost</t>
  </si>
  <si>
    <t>D.Smiley</t>
  </si>
  <si>
    <t>D.Famakin</t>
  </si>
  <si>
    <t>S.MacAulay</t>
  </si>
  <si>
    <t>R.Zamani</t>
  </si>
  <si>
    <t>A.Santos</t>
  </si>
  <si>
    <t>M.Dodd</t>
  </si>
  <si>
    <t>T.Wint</t>
  </si>
  <si>
    <t>L.Baggs</t>
  </si>
  <si>
    <t>M.Tahir</t>
  </si>
  <si>
    <t>T.Charles</t>
  </si>
  <si>
    <t>R.Vargo</t>
  </si>
  <si>
    <t>M.Odiase</t>
  </si>
  <si>
    <t>A.Fetherstonaugh</t>
  </si>
  <si>
    <t>A.Hussain</t>
  </si>
  <si>
    <t>S.Baxter</t>
  </si>
  <si>
    <t>T.Scott</t>
  </si>
  <si>
    <t>L.Brailli</t>
  </si>
  <si>
    <t>J.Baker</t>
  </si>
  <si>
    <t>P.McPherson</t>
  </si>
  <si>
    <t>P.Durrant</t>
  </si>
  <si>
    <t>J.McGee</t>
  </si>
  <si>
    <t>S.Leathley</t>
  </si>
  <si>
    <t>N.Haynes</t>
  </si>
  <si>
    <t>R.Ribero</t>
  </si>
  <si>
    <t>D.Mollett</t>
  </si>
  <si>
    <t>K.Lee</t>
  </si>
  <si>
    <t>K.Lingajothy</t>
  </si>
  <si>
    <t>J.Comton-Stewart</t>
  </si>
  <si>
    <t>B.Samways</t>
  </si>
  <si>
    <t>M.Rehman</t>
  </si>
  <si>
    <t>E.Pooley</t>
  </si>
  <si>
    <t>C.Curtis</t>
  </si>
  <si>
    <t>M.Halfacree</t>
  </si>
  <si>
    <t>E.Pokorny</t>
  </si>
  <si>
    <t>R.North</t>
  </si>
  <si>
    <t>Y.White</t>
  </si>
  <si>
    <t>K.Delaney</t>
  </si>
  <si>
    <t>E.Fenton</t>
  </si>
  <si>
    <t>E.Appiah-Tieku</t>
  </si>
  <si>
    <t>O.House</t>
  </si>
  <si>
    <t>A.Bishop</t>
  </si>
  <si>
    <t>J.Wells</t>
  </si>
  <si>
    <t>G.Armstrong</t>
  </si>
  <si>
    <t>H.Green</t>
  </si>
  <si>
    <t>K.Darji</t>
  </si>
  <si>
    <t>A.Aldrich</t>
  </si>
  <si>
    <t>T.Clark</t>
  </si>
  <si>
    <t>N.Folefac</t>
  </si>
  <si>
    <t>D.Ramsey</t>
  </si>
  <si>
    <t>G.Mbofona</t>
  </si>
  <si>
    <t>G.Bowles</t>
  </si>
  <si>
    <t>E.Ojong</t>
  </si>
  <si>
    <t>A.Dymock</t>
  </si>
  <si>
    <t>F.Blackburn</t>
  </si>
  <si>
    <t>A.Harney</t>
  </si>
  <si>
    <t>E.Hewitt</t>
  </si>
  <si>
    <t>T.Rukotana</t>
  </si>
  <si>
    <t>S.Hart</t>
  </si>
  <si>
    <t>A.Frobisher</t>
  </si>
  <si>
    <t>U.Qio</t>
  </si>
  <si>
    <t>C.West</t>
  </si>
  <si>
    <t>H.Coles</t>
  </si>
  <si>
    <t>H.Bevan</t>
  </si>
  <si>
    <t>P.Sliwinski</t>
  </si>
  <si>
    <t>S.Ellis</t>
  </si>
  <si>
    <t>E.Dennison</t>
  </si>
  <si>
    <t>E.Vaughan</t>
  </si>
  <si>
    <t>K.Johnson</t>
  </si>
  <si>
    <t>F.Gault</t>
  </si>
  <si>
    <t>K.Dennison</t>
  </si>
  <si>
    <t>B.Eifler</t>
  </si>
  <si>
    <t>A.Martin</t>
  </si>
  <si>
    <t>O.wall</t>
  </si>
  <si>
    <t>S.Jarman</t>
  </si>
  <si>
    <t>E. Beech</t>
  </si>
  <si>
    <t>I.Charters</t>
  </si>
  <si>
    <t>A.Teekram</t>
  </si>
  <si>
    <t>A.Tram</t>
  </si>
  <si>
    <t>E.Lewis</t>
  </si>
  <si>
    <t>K.Marks</t>
  </si>
  <si>
    <t>A.Williams</t>
  </si>
  <si>
    <t>Z.Overall</t>
  </si>
  <si>
    <t>M.Harrison</t>
  </si>
  <si>
    <t>C.Hill</t>
  </si>
  <si>
    <t>J.Adey</t>
  </si>
  <si>
    <t>H.Drury</t>
  </si>
  <si>
    <t>A.Southwell</t>
  </si>
  <si>
    <t>L.Leholt</t>
  </si>
  <si>
    <t>C.Burns</t>
  </si>
  <si>
    <t>A.McCausland</t>
  </si>
  <si>
    <t>T.Swanson</t>
  </si>
  <si>
    <t>A.Memory</t>
  </si>
  <si>
    <t>T.Hogdahl</t>
  </si>
  <si>
    <t>A.Burnett</t>
  </si>
  <si>
    <t>A.Hodgson</t>
  </si>
  <si>
    <t>J.O'Leary</t>
  </si>
  <si>
    <t>C.Bassano</t>
  </si>
  <si>
    <t>M.Botsford</t>
  </si>
  <si>
    <t>P.Thomas</t>
  </si>
  <si>
    <t>M.Lowe</t>
  </si>
  <si>
    <t>P.Hannawin</t>
  </si>
  <si>
    <t>N.Park</t>
  </si>
  <si>
    <t>J.Askey-Wood</t>
  </si>
  <si>
    <t>B.Jones</t>
  </si>
  <si>
    <t>S.Melbourne</t>
  </si>
  <si>
    <t>M.West</t>
  </si>
  <si>
    <t>F.Kelly</t>
  </si>
  <si>
    <t>B.Burgess-Smith</t>
  </si>
  <si>
    <t>Wok</t>
  </si>
  <si>
    <t>T.Lloyd</t>
  </si>
  <si>
    <t xml:space="preserve">    7a</t>
  </si>
  <si>
    <t xml:space="preserve">    5a</t>
  </si>
  <si>
    <t xml:space="preserve">   11a</t>
  </si>
  <si>
    <t>11a</t>
  </si>
  <si>
    <t>J. Rajkumar</t>
  </si>
  <si>
    <t>BRk</t>
  </si>
  <si>
    <t>3a</t>
  </si>
  <si>
    <t>P.Neale (WOK) 2013</t>
  </si>
  <si>
    <t>Hammer - 9.15</t>
  </si>
  <si>
    <t>M.Lake (WOK) 2013</t>
  </si>
  <si>
    <t>S.Marney (NWB) 1989</t>
  </si>
  <si>
    <t>Hammer</t>
  </si>
  <si>
    <t>A.Moore (BRK) 2007</t>
  </si>
  <si>
    <t>5a</t>
  </si>
  <si>
    <t>300M</t>
  </si>
  <si>
    <t>5A</t>
  </si>
  <si>
    <t>7A</t>
  </si>
  <si>
    <t>300m Final</t>
  </si>
  <si>
    <t>B. Brackstone (BRK) 2013</t>
  </si>
  <si>
    <t>04.45.0</t>
  </si>
  <si>
    <t>Jamie Bonella-Duke</t>
  </si>
  <si>
    <t>Amy Luke</t>
  </si>
  <si>
    <t>Jessica Woodford</t>
  </si>
  <si>
    <t>J. Gardner</t>
  </si>
  <si>
    <t>F5   9:15</t>
  </si>
  <si>
    <t>Oliver Hewitt</t>
  </si>
  <si>
    <t>HAMMER S. BOYS</t>
  </si>
  <si>
    <t>F6  9:15 HAMMER S. Girls</t>
  </si>
  <si>
    <t>Leah Runnacles</t>
  </si>
  <si>
    <t>H Clabburn</t>
  </si>
  <si>
    <t>Stuart Bladen</t>
  </si>
  <si>
    <t>D Stevenson</t>
  </si>
  <si>
    <t>G Hopes</t>
  </si>
  <si>
    <t>Ojebo Adoh</t>
  </si>
  <si>
    <t>Harrison Thorne</t>
  </si>
  <si>
    <t>Kola Motaja</t>
  </si>
  <si>
    <t>D Animashaun</t>
  </si>
  <si>
    <t>R Laurence</t>
  </si>
  <si>
    <t>F.7   9.45 HIGH JUMP  Inter  BOYS</t>
  </si>
  <si>
    <t>F.8   9.45 HIGH JUMP   S. BOYS</t>
  </si>
  <si>
    <t>J Osler</t>
  </si>
  <si>
    <t>Charlie Broad</t>
  </si>
  <si>
    <t>Jonathan Evans</t>
  </si>
  <si>
    <t>S Oguuleta</t>
  </si>
  <si>
    <t>F.9    9:45  LONG JUMP   Inter GIRLS</t>
  </si>
  <si>
    <t>A Fitzwilliams</t>
  </si>
  <si>
    <t>G Lewis</t>
  </si>
  <si>
    <t>K Stephens</t>
  </si>
  <si>
    <t>J Crossley</t>
  </si>
  <si>
    <t>Jasmine McCallum</t>
  </si>
  <si>
    <t>Talia Jones</t>
  </si>
  <si>
    <t>Lailau Naroo</t>
  </si>
  <si>
    <t>Auegra Slater</t>
  </si>
  <si>
    <t>E Pitney</t>
  </si>
  <si>
    <t>A Treylown</t>
  </si>
  <si>
    <t>Hannah Monaighan</t>
  </si>
  <si>
    <t>F10   10.00 LONG JUMP Sen. GIRLS</t>
  </si>
  <si>
    <t>Hannah Jones</t>
  </si>
  <si>
    <t>R Larson</t>
  </si>
  <si>
    <t>F.12   10.15 DISCUS Inter GIRLS</t>
  </si>
  <si>
    <t>B Howland-Jackson</t>
  </si>
  <si>
    <t>E Spencer-Jones</t>
  </si>
  <si>
    <t>Charlotte Payne</t>
  </si>
  <si>
    <t>KJ Stevens</t>
  </si>
  <si>
    <t>Jessica Pottle</t>
  </si>
  <si>
    <t>Sophie Lange</t>
  </si>
  <si>
    <t>Sophie Tunn</t>
  </si>
  <si>
    <t>Mia Taylor-Warner</t>
  </si>
  <si>
    <t>F.13   10.15 DISCUS Senior GIRLS</t>
  </si>
  <si>
    <t>Caitlin Stacey</t>
  </si>
  <si>
    <t>Jessica Williams</t>
  </si>
  <si>
    <t>F.20  10.45 LONG JUMP   Junior GIRLS</t>
  </si>
  <si>
    <t>J Hugh-Smith</t>
  </si>
  <si>
    <t>L Griffiths</t>
  </si>
  <si>
    <t>A Montague</t>
  </si>
  <si>
    <t>A Brader</t>
  </si>
  <si>
    <t>Amelia Hanson</t>
  </si>
  <si>
    <t>Lizzie Freeney</t>
  </si>
  <si>
    <t>Daisy Harris-Bosancic</t>
  </si>
  <si>
    <t>Rachel Okoro</t>
  </si>
  <si>
    <t>Ella Jacobs</t>
  </si>
  <si>
    <t>K Treglown</t>
  </si>
  <si>
    <t>E Vokes</t>
  </si>
  <si>
    <t>F.11   10.00 SHOT PUTT   Junior BOYS</t>
  </si>
  <si>
    <t>A Armedilla</t>
  </si>
  <si>
    <t>J Berry</t>
  </si>
  <si>
    <t>Conor Sitton</t>
  </si>
  <si>
    <t>O Gregory</t>
  </si>
  <si>
    <t>Josh Gawman</t>
  </si>
  <si>
    <t>E Obienu</t>
  </si>
  <si>
    <t>Eddie Davies</t>
  </si>
  <si>
    <t>Ricky Villa-Abrille</t>
  </si>
  <si>
    <t>Tom Wakely</t>
  </si>
  <si>
    <t>David Saab</t>
  </si>
  <si>
    <t>D Osagie</t>
  </si>
  <si>
    <t>B David</t>
  </si>
  <si>
    <t>Hardeep Heer</t>
  </si>
  <si>
    <t>F.21   11.00 DISCUS   Junior GIRLS</t>
  </si>
  <si>
    <t>L Mokhothu</t>
  </si>
  <si>
    <t>C Dyer-Grimes</t>
  </si>
  <si>
    <t>S Wheadon</t>
  </si>
  <si>
    <t>K Stevens</t>
  </si>
  <si>
    <t>Zoe Obamakinwa</t>
  </si>
  <si>
    <t>Anjelina Manase</t>
  </si>
  <si>
    <t>Azeezah Okoyo</t>
  </si>
  <si>
    <t>Amina Bundu</t>
  </si>
  <si>
    <t>F.24   11.30 HIGH JUMP   Junior BOYS</t>
  </si>
  <si>
    <t>E Rotner</t>
  </si>
  <si>
    <t>W Clarke</t>
  </si>
  <si>
    <t>J Cox</t>
  </si>
  <si>
    <t>J Bale</t>
  </si>
  <si>
    <t>O Hazell</t>
  </si>
  <si>
    <t>Estanis de la Quadro-Salcedo</t>
  </si>
  <si>
    <t>Matthew Obichere</t>
  </si>
  <si>
    <t>Lio Owana</t>
  </si>
  <si>
    <t>Samual Davy</t>
  </si>
  <si>
    <t>B Munro</t>
  </si>
  <si>
    <t>T Hamouday</t>
  </si>
  <si>
    <t>F25 11.45   DISCUS   Inter BOYS</t>
  </si>
  <si>
    <t>3A</t>
  </si>
  <si>
    <t>E Nye</t>
  </si>
  <si>
    <t>M Nicholls</t>
  </si>
  <si>
    <t>H Donne</t>
  </si>
  <si>
    <t>S Deacon</t>
  </si>
  <si>
    <t>Charlie Cox</t>
  </si>
  <si>
    <t>Aaron MacPepple-Jaja</t>
  </si>
  <si>
    <t>Josh Teeder</t>
  </si>
  <si>
    <t>Josh Ihezue</t>
  </si>
  <si>
    <t>J Hill</t>
  </si>
  <si>
    <t>F.26  11.45 DISCUS    Senior BOYS</t>
  </si>
  <si>
    <t>F.27  12.00 LONG JUMP    Inter BOYS</t>
  </si>
  <si>
    <t>U Colebeck</t>
  </si>
  <si>
    <t>C Castle</t>
  </si>
  <si>
    <t>M Maynard</t>
  </si>
  <si>
    <t>Ryan Berry</t>
  </si>
  <si>
    <t>Khviwalid Shabban</t>
  </si>
  <si>
    <t>Oliver Norley</t>
  </si>
  <si>
    <t>J Myers</t>
  </si>
  <si>
    <t>D Watson</t>
  </si>
  <si>
    <t>F.28 12.00 LONG JUMP   Senior BOYS</t>
  </si>
  <si>
    <t>Sam Challis</t>
  </si>
  <si>
    <t>Alex Waters</t>
  </si>
  <si>
    <t>F. 17   10.30 POLE VAULT    Inter BOYS</t>
  </si>
  <si>
    <t>Ben Askey-Wood</t>
  </si>
  <si>
    <t>Anthony Rice</t>
  </si>
  <si>
    <t>Josh Williams</t>
  </si>
  <si>
    <t>Abe Melbourne</t>
  </si>
  <si>
    <t>Peter Holt</t>
  </si>
  <si>
    <t>Max Young</t>
  </si>
  <si>
    <t>F.19   10.30 POLE VAULT    Senior BOYS</t>
  </si>
  <si>
    <t>F.38  14.15 SHOT PUTT     Junior GIRLS</t>
  </si>
  <si>
    <t>A Blundell</t>
  </si>
  <si>
    <t>L Gryce</t>
  </si>
  <si>
    <t>E Armstrong</t>
  </si>
  <si>
    <t>B Carlton</t>
  </si>
  <si>
    <t>Charlotte Gofroth</t>
  </si>
  <si>
    <t>Jardae Hodge-Spencer</t>
  </si>
  <si>
    <t>Gabby Powell</t>
  </si>
  <si>
    <t>Michaela Murwisi</t>
  </si>
  <si>
    <t>L James</t>
  </si>
  <si>
    <t>M Whitehouse</t>
  </si>
  <si>
    <t xml:space="preserve">  F.31  12.45 DISCUS    Junior BOYS</t>
  </si>
  <si>
    <t>G Nazier</t>
  </si>
  <si>
    <t>Harry Booker</t>
  </si>
  <si>
    <t>K Watts</t>
  </si>
  <si>
    <t>Max Wheatley</t>
  </si>
  <si>
    <t>Davion Daley</t>
  </si>
  <si>
    <t>Ethan Musgrove</t>
  </si>
  <si>
    <t>Ethan Smith</t>
  </si>
  <si>
    <t>S Hart</t>
  </si>
  <si>
    <t>F.32  13.00 LONG JUMP    Junior BOYS</t>
  </si>
  <si>
    <t>J Hoad</t>
  </si>
  <si>
    <t>B Dennis</t>
  </si>
  <si>
    <t>Oliver Bazin</t>
  </si>
  <si>
    <t>Oliver Langton</t>
  </si>
  <si>
    <t>Elijah Oladunjoye</t>
  </si>
  <si>
    <t>Tyquan Lee</t>
  </si>
  <si>
    <t>Harvey Sommerville</t>
  </si>
  <si>
    <t>Jaco Overturf</t>
  </si>
  <si>
    <t>H Daisley</t>
  </si>
  <si>
    <t>J Carless</t>
  </si>
  <si>
    <t>F.33  1.00 HIGH JUMP    Junior GIRLS</t>
  </si>
  <si>
    <t>I Pennycooke</t>
  </si>
  <si>
    <t>B Jordan</t>
  </si>
  <si>
    <t>S Novatin</t>
  </si>
  <si>
    <t>R Love</t>
  </si>
  <si>
    <t>Bella Cooper</t>
  </si>
  <si>
    <t>Rosie Mentiply</t>
  </si>
  <si>
    <t>Amber Mothersill</t>
  </si>
  <si>
    <t>Megan Morris</t>
  </si>
  <si>
    <t>Emily Helsby</t>
  </si>
  <si>
    <t>Zoe Allanson</t>
  </si>
  <si>
    <t>I Parsons</t>
  </si>
  <si>
    <t>R Losei-Ingham</t>
  </si>
  <si>
    <t>F.34  1.30 JAVELIN    Inter GIRLS</t>
  </si>
  <si>
    <t>A Mitchell</t>
  </si>
  <si>
    <t>A de la Chaise</t>
  </si>
  <si>
    <t>M Hanham</t>
  </si>
  <si>
    <t>A Livingstone</t>
  </si>
  <si>
    <t>Lauren Bullock</t>
  </si>
  <si>
    <t>11A</t>
  </si>
  <si>
    <t>Jodie Smith</t>
  </si>
  <si>
    <t>Annabella Pettipher</t>
  </si>
  <si>
    <t>Katie Holt</t>
  </si>
  <si>
    <t>E Leesen</t>
  </si>
  <si>
    <t>F.35  1.30 JAVELIN     Senior GIRLS</t>
  </si>
  <si>
    <t>F.36  1.45 TRIPLE JUMP     Inter BOYS</t>
  </si>
  <si>
    <t>A Madari</t>
  </si>
  <si>
    <t>P Narangpen</t>
  </si>
  <si>
    <t>J Douglas</t>
  </si>
  <si>
    <t>Jude Van Spall</t>
  </si>
  <si>
    <t>Raja Khan</t>
  </si>
  <si>
    <t>J Pitney</t>
  </si>
  <si>
    <t>M Swindley</t>
  </si>
  <si>
    <t>F37  2.15 TRIPLE JUMP    Senior BOYS</t>
  </si>
  <si>
    <t>Noah Folefac</t>
  </si>
  <si>
    <t>F.29  12.45 SHOT PUTT     Inter BOYS</t>
  </si>
  <si>
    <t>J Mears</t>
  </si>
  <si>
    <t>T Butler</t>
  </si>
  <si>
    <t>Z Montgomery</t>
  </si>
  <si>
    <t>David Coleman</t>
  </si>
  <si>
    <t>Will Atiomo</t>
  </si>
  <si>
    <t>Jamie Cissell</t>
  </si>
  <si>
    <t>Michael Davis</t>
  </si>
  <si>
    <t>C Gurung</t>
  </si>
  <si>
    <t>L Hawtin</t>
  </si>
  <si>
    <t>F.30  12.45 SHOT PUTT    Senior BOYS</t>
  </si>
  <si>
    <t>Charlie Ashdown-Taylor</t>
  </si>
  <si>
    <t>Alex Spratley-Kemp</t>
  </si>
  <si>
    <t>Callum Tilleray</t>
  </si>
  <si>
    <t>F.39  2.30 JAVELIN     Junior BOYS</t>
  </si>
  <si>
    <t>B Nason</t>
  </si>
  <si>
    <t>E Lacey</t>
  </si>
  <si>
    <t>Ben East</t>
  </si>
  <si>
    <t>J Cannons</t>
  </si>
  <si>
    <t>Sol Arbuthnot-Whittaker</t>
  </si>
  <si>
    <t>Kieron Bull</t>
  </si>
  <si>
    <t>Joshua Patterson</t>
  </si>
  <si>
    <t>J McCafferty</t>
  </si>
  <si>
    <t>L Holzman</t>
  </si>
  <si>
    <t>F.40   2.30 HIGH JUMP       Inter GIRLS</t>
  </si>
  <si>
    <t>I Elwes</t>
  </si>
  <si>
    <t>I Idle</t>
  </si>
  <si>
    <t>O Clegg</t>
  </si>
  <si>
    <t>R McBowin</t>
  </si>
  <si>
    <t>Isabell Church</t>
  </si>
  <si>
    <t>Hazelle Medel-Idowu</t>
  </si>
  <si>
    <t>Imogen Shaw</t>
  </si>
  <si>
    <t>Laura House</t>
  </si>
  <si>
    <t>G Trulli</t>
  </si>
  <si>
    <t>G Frost</t>
  </si>
  <si>
    <t>F41  2.30 HIGH JUMP     Senior        GIRLS</t>
  </si>
  <si>
    <t>E Houston</t>
  </si>
  <si>
    <t>Molly Bates</t>
  </si>
  <si>
    <t>F.42   3.15 Triple Jump     Junior Boys</t>
  </si>
  <si>
    <t>L Baker</t>
  </si>
  <si>
    <t>W Thomas</t>
  </si>
  <si>
    <t>Dexter Beard</t>
  </si>
  <si>
    <t>Malek Issimaila</t>
  </si>
  <si>
    <t>Rhys Hughes</t>
  </si>
  <si>
    <t>Chris Kennedy</t>
  </si>
  <si>
    <t>S Hamblin</t>
  </si>
  <si>
    <t>R Gooding</t>
  </si>
  <si>
    <t>F43  3.30 JAVELIN     Junior GIRLS</t>
  </si>
  <si>
    <t>T Moore</t>
  </si>
  <si>
    <t>P Hoaen</t>
  </si>
  <si>
    <t>D Dijksman</t>
  </si>
  <si>
    <t>Emma Jennings</t>
  </si>
  <si>
    <t>Isobel Benster</t>
  </si>
  <si>
    <t>LanaWallis</t>
  </si>
  <si>
    <t>Emilie Richardson</t>
  </si>
  <si>
    <t>A Miller</t>
  </si>
  <si>
    <t>P Evans</t>
  </si>
  <si>
    <t>F.22   11.15 SHOT PUTT     Inter GIRLS</t>
  </si>
  <si>
    <t>A Watson</t>
  </si>
  <si>
    <t>C Cuthill</t>
  </si>
  <si>
    <t>M Eldridge</t>
  </si>
  <si>
    <t>I Doherty</t>
  </si>
  <si>
    <t>Angela Lowe</t>
  </si>
  <si>
    <t>Rorie Tuckwell</t>
  </si>
  <si>
    <t>Ife Ogidan</t>
  </si>
  <si>
    <t>Daisy Horler</t>
  </si>
  <si>
    <t>L Spratley-Kemp</t>
  </si>
  <si>
    <t>B Abnett</t>
  </si>
  <si>
    <t>D Toisin-Tolabi</t>
  </si>
  <si>
    <t>Z K-Walmsley</t>
  </si>
  <si>
    <t>Klaudia Wallas</t>
  </si>
  <si>
    <t>Alice Kane</t>
  </si>
  <si>
    <t>Abbie Jones</t>
  </si>
  <si>
    <t>Cleo Sloggett</t>
  </si>
  <si>
    <t>K Kaemmerlen</t>
  </si>
  <si>
    <t>N Paris</t>
  </si>
  <si>
    <t>F44  4.15 TRIPLE JUMP        Inter GIRLS</t>
  </si>
  <si>
    <t>F45  4.15 TRIPLE JUMP      Senior GIRLS</t>
  </si>
  <si>
    <t>P Young</t>
  </si>
  <si>
    <t>F46  4.15       JAVELIN      Inter BOYS</t>
  </si>
  <si>
    <t>B Mills</t>
  </si>
  <si>
    <t>B Ford</t>
  </si>
  <si>
    <t>B-S Bannister</t>
  </si>
  <si>
    <t>M Hazle</t>
  </si>
  <si>
    <t>Oliver Mattews</t>
  </si>
  <si>
    <t>Tom Jordan</t>
  </si>
  <si>
    <t>Nathan Smith</t>
  </si>
  <si>
    <t>Elliot Tulley</t>
  </si>
  <si>
    <t>J Cable</t>
  </si>
  <si>
    <t>T Johnson</t>
  </si>
  <si>
    <t>F.47  4.15 Javelin     Senior Boys</t>
  </si>
  <si>
    <t>Ry Otake</t>
  </si>
  <si>
    <t>F 6  9.30 Hammer    Senior Girls</t>
  </si>
  <si>
    <t>F16 - 10.30 Pole Vault     Inter  Girls</t>
  </si>
  <si>
    <t>2a</t>
  </si>
  <si>
    <t>C Kelly</t>
  </si>
  <si>
    <t>E Kenyon-Slaney</t>
  </si>
  <si>
    <t>C Spratt</t>
  </si>
  <si>
    <t>Trinity O'Connor</t>
  </si>
  <si>
    <t>S Pritchard</t>
  </si>
  <si>
    <t>Toby Irving</t>
  </si>
  <si>
    <t>F15 10.30 - Pole Vault     Junior BOYS</t>
  </si>
  <si>
    <t>F18 - 10.30 Pole Vault     Senior GIRLS</t>
  </si>
  <si>
    <t>Izzy Deacon</t>
  </si>
  <si>
    <t>C Janssen</t>
  </si>
  <si>
    <t>P Thomas</t>
  </si>
  <si>
    <t>Emily McDonald</t>
  </si>
  <si>
    <t>Emily Glanville</t>
  </si>
  <si>
    <t>F23 - 11.15 Shot Putt    Senior GIRLS</t>
  </si>
  <si>
    <t>Y Bryan</t>
  </si>
  <si>
    <t>Daisy McDowell</t>
  </si>
  <si>
    <t>T1  10.30   300M HURDLES      Inter GIRLS   FINAL</t>
  </si>
  <si>
    <t>I Norrey</t>
  </si>
  <si>
    <t>Orla Brennan</t>
  </si>
  <si>
    <t>T3 10.40  400M HURDLES    Inter BOYS    FINAL</t>
  </si>
  <si>
    <t>C McWilliam</t>
  </si>
  <si>
    <t>T4  10.40  400M HURDLES  Senior BOYS    FINAL</t>
  </si>
  <si>
    <t>Jack Millar</t>
  </si>
  <si>
    <t>T5  10.45   100M   Junior GIRLS  HEATS</t>
  </si>
  <si>
    <t>A Sillett</t>
  </si>
  <si>
    <t>A Taank</t>
  </si>
  <si>
    <t>Shanelle Onestas</t>
  </si>
  <si>
    <t>F Gaye</t>
  </si>
  <si>
    <t>I Cook</t>
  </si>
  <si>
    <t>Ellie Gilder</t>
  </si>
  <si>
    <t>Grace Taqui</t>
  </si>
  <si>
    <t>Olivia Phelps</t>
  </si>
  <si>
    <t>L Springer</t>
  </si>
  <si>
    <t>T6  10.50 100M     Junior BOYS   HEATS</t>
  </si>
  <si>
    <t>P McErlain</t>
  </si>
  <si>
    <t>A Price</t>
  </si>
  <si>
    <t>John MacGeevay</t>
  </si>
  <si>
    <t>Geo Sealey</t>
  </si>
  <si>
    <t>B Ayisi</t>
  </si>
  <si>
    <t>A Faria</t>
  </si>
  <si>
    <t>H Hutchins</t>
  </si>
  <si>
    <t>H Harry</t>
  </si>
  <si>
    <t>A Velraj</t>
  </si>
  <si>
    <t>Luke Turner</t>
  </si>
  <si>
    <t>T Raggett</t>
  </si>
  <si>
    <t>T7  10.55  100M     Inter GIRLS  HEATS</t>
  </si>
  <si>
    <t>A Carlsson</t>
  </si>
  <si>
    <t>A White</t>
  </si>
  <si>
    <t>Oyinkan Bello</t>
  </si>
  <si>
    <t>Savannah Proctor</t>
  </si>
  <si>
    <t>Izzy Byrne</t>
  </si>
  <si>
    <t>E Whybrow</t>
  </si>
  <si>
    <t>V Franks</t>
  </si>
  <si>
    <t>S Hudson</t>
  </si>
  <si>
    <t>Georgia Kent</t>
  </si>
  <si>
    <t>Kitty Cogswell</t>
  </si>
  <si>
    <t>N Duker</t>
  </si>
  <si>
    <t>Orla Breslin</t>
  </si>
  <si>
    <t>T8  11.00  100M    Inter BOYS  HEATS</t>
  </si>
  <si>
    <t>M Tonode</t>
  </si>
  <si>
    <t>D Hockaday</t>
  </si>
  <si>
    <t>A Jeczalik</t>
  </si>
  <si>
    <t>David Chiana</t>
  </si>
  <si>
    <t>Justin Morris</t>
  </si>
  <si>
    <t>J Johnston</t>
  </si>
  <si>
    <t>M Reyes</t>
  </si>
  <si>
    <t>T Campbell</t>
  </si>
  <si>
    <t>Harry Clarke</t>
  </si>
  <si>
    <t>Callum Stacey</t>
  </si>
  <si>
    <t>Patrick Nwoga</t>
  </si>
  <si>
    <t>L Parfett</t>
  </si>
  <si>
    <t>Alex Aldrich</t>
  </si>
  <si>
    <t>T9 11.05 100M    Senior GIRLS  FINAL</t>
  </si>
  <si>
    <t>Louisa Snape</t>
  </si>
  <si>
    <t>T10  11.10   100M    Senior BOYS  final</t>
  </si>
  <si>
    <t>Tristan Bevan</t>
  </si>
  <si>
    <t>A Akuoka</t>
  </si>
  <si>
    <t>Charlie Crawford</t>
  </si>
  <si>
    <t>T Bosnan</t>
  </si>
  <si>
    <t>Ramone Jordan</t>
  </si>
  <si>
    <t>S Brooke</t>
  </si>
  <si>
    <t>B Philip</t>
  </si>
  <si>
    <t>Oonagh O'Driscoll</t>
  </si>
  <si>
    <t>Francesca Blackwell</t>
  </si>
  <si>
    <t>Alice Egan</t>
  </si>
  <si>
    <t>Freya Jones</t>
  </si>
  <si>
    <t>Isabelle Craven</t>
  </si>
  <si>
    <t>Hannah Roberts</t>
  </si>
  <si>
    <t>T Weavers</t>
  </si>
  <si>
    <t>Jessica Fewkes</t>
  </si>
  <si>
    <t xml:space="preserve"> T11.  11.15 800M   Junior GIRLS  FINAL</t>
  </si>
  <si>
    <t>T12  11.20  800M   Junior BOYS   FINAL</t>
  </si>
  <si>
    <t>J Badana</t>
  </si>
  <si>
    <t>F Saunders</t>
  </si>
  <si>
    <t>K Chauke</t>
  </si>
  <si>
    <t>Tom Rickards</t>
  </si>
  <si>
    <t>Reuben Henry-Daire</t>
  </si>
  <si>
    <t>Luke Lom-Hynes</t>
  </si>
  <si>
    <t>Elliot Lowe</t>
  </si>
  <si>
    <t>H Maple</t>
  </si>
  <si>
    <t>F H-Dryer</t>
  </si>
  <si>
    <t>T13  11.25  800M    Inter GIRLS FINAL</t>
  </si>
  <si>
    <t>E Griffin</t>
  </si>
  <si>
    <t>M Brown</t>
  </si>
  <si>
    <t>A Downie</t>
  </si>
  <si>
    <t>Kaya Sittampalam-Main</t>
  </si>
  <si>
    <t>Robyn Watkins</t>
  </si>
  <si>
    <t>C Rice</t>
  </si>
  <si>
    <t>S Charles</t>
  </si>
  <si>
    <t>Ja Nightingale</t>
  </si>
  <si>
    <t>T14   11.30  800M   Inter BOYS FINAL</t>
  </si>
  <si>
    <t>Harry Digby</t>
  </si>
  <si>
    <t>Oliver Hall</t>
  </si>
  <si>
    <t>S Bonnet</t>
  </si>
  <si>
    <t>F Walker</t>
  </si>
  <si>
    <t>Eddie Steveni</t>
  </si>
  <si>
    <t>Marcus Cleare</t>
  </si>
  <si>
    <t>Morrison Cleaver</t>
  </si>
  <si>
    <t>Theo Elwes</t>
  </si>
  <si>
    <t>Sammy March</t>
  </si>
  <si>
    <t>Matthew Daines</t>
  </si>
  <si>
    <t>T Sinfield</t>
  </si>
  <si>
    <t>S Walker-Boyd</t>
  </si>
  <si>
    <t>T15  11.35 800M    Senior GIRLS FINAL</t>
  </si>
  <si>
    <t>Charlotte Harris</t>
  </si>
  <si>
    <t>T16  11.40   800M U19 BOYS  FINAL</t>
  </si>
  <si>
    <t>Alexander RB Bevan</t>
  </si>
  <si>
    <t>Ben Corless</t>
  </si>
  <si>
    <t>A McArthur</t>
  </si>
  <si>
    <t>H Neville</t>
  </si>
  <si>
    <t>Maya Jani</t>
  </si>
  <si>
    <t>Annabelle Ruinet</t>
  </si>
  <si>
    <t>C Eames</t>
  </si>
  <si>
    <t>H Savey-Bennett</t>
  </si>
  <si>
    <t>A Hamilton</t>
  </si>
  <si>
    <t>Harana Sale</t>
  </si>
  <si>
    <t>E Pickford</t>
  </si>
  <si>
    <t>L Watkins</t>
  </si>
  <si>
    <t>T17 11.45  75M HURDLES    Junior GIRLS  HEATS</t>
  </si>
  <si>
    <t>T18  11.55 80M HURDLES   Inter GIRLS  Final</t>
  </si>
  <si>
    <t>A Henderson</t>
  </si>
  <si>
    <t>T Gohara</t>
  </si>
  <si>
    <t>Emily Cunnimgham</t>
  </si>
  <si>
    <t>L McNemeny</t>
  </si>
  <si>
    <t>T19 12.05  80M HURDLES    Junior BOYS   HEATS</t>
  </si>
  <si>
    <t>B Britton</t>
  </si>
  <si>
    <t>A Jardine</t>
  </si>
  <si>
    <t>Matthew Kirk</t>
  </si>
  <si>
    <t>Jonathan Brew</t>
  </si>
  <si>
    <t>G Buckner</t>
  </si>
  <si>
    <t>M Cooper</t>
  </si>
  <si>
    <t>Archie O'Dwyer</t>
  </si>
  <si>
    <t>M Moffatt</t>
  </si>
  <si>
    <t>Harry Herbet</t>
  </si>
  <si>
    <t>T20  12.10 100M  HURDLES    Senior GIRLS  FINAL</t>
  </si>
  <si>
    <t>Rachel Melbourne</t>
  </si>
  <si>
    <t>T21  12.15   100M HURDLES   Inter BOYS  Final</t>
  </si>
  <si>
    <t>Tom Beale</t>
  </si>
  <si>
    <t>A Sweeting</t>
  </si>
  <si>
    <t>Josh Zeller</t>
  </si>
  <si>
    <t>Alexander Farquhar</t>
  </si>
  <si>
    <t>A Swain</t>
  </si>
  <si>
    <t>Hugo Bright</t>
  </si>
  <si>
    <t>T22   12.30 110M HURDLES    Senior BOYS   FINAL</t>
  </si>
  <si>
    <t>T23  12.35 300M  Inter GIRLS Heats</t>
  </si>
  <si>
    <t>C Johnson</t>
  </si>
  <si>
    <t>A James</t>
  </si>
  <si>
    <t>Lottie Ambridge</t>
  </si>
  <si>
    <t>N Bennett</t>
  </si>
  <si>
    <t>Maisie Pennant</t>
  </si>
  <si>
    <t>Je Nightingale</t>
  </si>
  <si>
    <t>C Gallagher</t>
  </si>
  <si>
    <t>Emmanuella Young</t>
  </si>
  <si>
    <t>Natasha Goldsworthy</t>
  </si>
  <si>
    <t>C McCafferty</t>
  </si>
  <si>
    <t xml:space="preserve">T24   12.40   </t>
  </si>
  <si>
    <t>300M     Junior BOYS  HEATS</t>
  </si>
  <si>
    <t>J Norman</t>
  </si>
  <si>
    <t>Scott Wallace</t>
  </si>
  <si>
    <t>Max Summers</t>
  </si>
  <si>
    <t>Kyle Ferguson</t>
  </si>
  <si>
    <t>J Nneke</t>
  </si>
  <si>
    <t>Oluwatosin Odunsi</t>
  </si>
  <si>
    <t>R Snock</t>
  </si>
  <si>
    <t>T Anderson</t>
  </si>
  <si>
    <t>Adam Sylvester</t>
  </si>
  <si>
    <t>C Grant</t>
  </si>
  <si>
    <t>Toby Hope</t>
  </si>
  <si>
    <t>K Grant</t>
  </si>
  <si>
    <t>T25   12.45 400M    Inter BOYS  HEATS</t>
  </si>
  <si>
    <t>H Nutman</t>
  </si>
  <si>
    <t>R Langdon</t>
  </si>
  <si>
    <t>Ethan Baines-Gillespie</t>
  </si>
  <si>
    <t>Ridwaan Omar</t>
  </si>
  <si>
    <t>Rory Naylor</t>
  </si>
  <si>
    <t>L Rodriguez</t>
  </si>
  <si>
    <t>A Glenister</t>
  </si>
  <si>
    <t>T Atkins</t>
  </si>
  <si>
    <t>Barnaby Lee</t>
  </si>
  <si>
    <t>J Southard</t>
  </si>
  <si>
    <t>Ruud Drew</t>
  </si>
  <si>
    <t>Harry North</t>
  </si>
  <si>
    <t>Phoebe Fenwick</t>
  </si>
  <si>
    <t>400M Senior GIRLS FINAL</t>
  </si>
  <si>
    <t>T26 12.50</t>
  </si>
  <si>
    <t>T27   12.55  400M   Senior BOYS  FINAL</t>
  </si>
  <si>
    <t>M Collins</t>
  </si>
  <si>
    <t>Alex Kotelawala</t>
  </si>
  <si>
    <t>Alex Pocock-Stillman</t>
  </si>
  <si>
    <t>R Smart</t>
  </si>
  <si>
    <t>Blaine Lewis-Shallow</t>
  </si>
  <si>
    <t>T32   1.20  1500M  Junior GIRLS  FINAL</t>
  </si>
  <si>
    <t>Jasmine Young</t>
  </si>
  <si>
    <t>C Connelly</t>
  </si>
  <si>
    <t>Lucy Wells</t>
  </si>
  <si>
    <t>R Thomson</t>
  </si>
  <si>
    <t>Naomi Harris</t>
  </si>
  <si>
    <t>Nicola Lee</t>
  </si>
  <si>
    <t>Eloisa Harris</t>
  </si>
  <si>
    <t>Hannah Read</t>
  </si>
  <si>
    <t>A Baines</t>
  </si>
  <si>
    <t>R Whalley</t>
  </si>
  <si>
    <t>1a</t>
  </si>
  <si>
    <t>Amy Young</t>
  </si>
  <si>
    <t>T33  1.30 1500M Junior BOYS  FINAL</t>
  </si>
  <si>
    <t>T Brooks</t>
  </si>
  <si>
    <t>S Carey</t>
  </si>
  <si>
    <t>M Raynor</t>
  </si>
  <si>
    <t>H Beattie</t>
  </si>
  <si>
    <t>Sam Hodgson</t>
  </si>
  <si>
    <t>Reuben Muston</t>
  </si>
  <si>
    <t>James Black</t>
  </si>
  <si>
    <t>Nathan Hackley</t>
  </si>
  <si>
    <t>Philip Mensah</t>
  </si>
  <si>
    <t>Ross Van Hearde</t>
  </si>
  <si>
    <t>L Bradshaw</t>
  </si>
  <si>
    <t>S Warren</t>
  </si>
  <si>
    <t>T38  2.00  200M  Junior GIRLS HEATS</t>
  </si>
  <si>
    <t>E Morris</t>
  </si>
  <si>
    <t>Georgia Jones</t>
  </si>
  <si>
    <t>Leila Lister</t>
  </si>
  <si>
    <t>E Johnson</t>
  </si>
  <si>
    <t>Caitlin Woollaston</t>
  </si>
  <si>
    <t>Ashonte Ferguson</t>
  </si>
  <si>
    <t>G Capelliti</t>
  </si>
  <si>
    <t>C Collins</t>
  </si>
  <si>
    <t>Amelia Clark</t>
  </si>
  <si>
    <t>Matilda Robinson</t>
  </si>
  <si>
    <t>H Stone</t>
  </si>
  <si>
    <t>T38 2.05  200M  Junior BOYS  HEATS</t>
  </si>
  <si>
    <t>R Probert</t>
  </si>
  <si>
    <t>B Newman</t>
  </si>
  <si>
    <t>Gabriel Isaacs</t>
  </si>
  <si>
    <t>S Elwood</t>
  </si>
  <si>
    <t>Michael Wilson</t>
  </si>
  <si>
    <t>Frank Cotter</t>
  </si>
  <si>
    <t>G Aurelien</t>
  </si>
  <si>
    <t>T Hills</t>
  </si>
  <si>
    <t>Alastair Wright</t>
  </si>
  <si>
    <t>Louis DaCosta</t>
  </si>
  <si>
    <t>Louis Francis</t>
  </si>
  <si>
    <t>C Dixon</t>
  </si>
  <si>
    <t>T39  2.10     200M  Inter GIRLS  HEATS</t>
  </si>
  <si>
    <t>V Coates</t>
  </si>
  <si>
    <t>K Angell</t>
  </si>
  <si>
    <t>Sophie Ekundayo</t>
  </si>
  <si>
    <t>R Watkins</t>
  </si>
  <si>
    <t>Caitlin McAra</t>
  </si>
  <si>
    <t>E Seymour</t>
  </si>
  <si>
    <t>Jolade Lawal</t>
  </si>
  <si>
    <t>Emily Dunsheath</t>
  </si>
  <si>
    <t>Isobel Gilkes</t>
  </si>
  <si>
    <t>T41  2.15   200M   Inter BOYS   HEATS</t>
  </si>
  <si>
    <t>M Dykes</t>
  </si>
  <si>
    <t>L Parry</t>
  </si>
  <si>
    <t>Cameron Ireland</t>
  </si>
  <si>
    <t>Noel Fortune</t>
  </si>
  <si>
    <t>Ben Greenidge</t>
  </si>
  <si>
    <t>Matthew Buckner</t>
  </si>
  <si>
    <t>H Ray</t>
  </si>
  <si>
    <t>C Watson</t>
  </si>
  <si>
    <t>M Henry</t>
  </si>
  <si>
    <t>Orlando Bell</t>
  </si>
  <si>
    <t>J Millar</t>
  </si>
  <si>
    <t>T41   2.20    200M  Senior GIRLS FINAL</t>
  </si>
  <si>
    <t>T43  2.25    200M Senior BOYS   FINAL</t>
  </si>
  <si>
    <t>Dan Stoller</t>
  </si>
  <si>
    <t>Sam Russell</t>
  </si>
  <si>
    <t>T48 2.50  1500M    Inter GIRLS   FINAL</t>
  </si>
  <si>
    <t>C Nicholls</t>
  </si>
  <si>
    <t>K Shepherd-Cross</t>
  </si>
  <si>
    <t>Isobel Mannion</t>
  </si>
  <si>
    <t>Elena Jones</t>
  </si>
  <si>
    <t>Sophie Poole</t>
  </si>
  <si>
    <t>H Walker</t>
  </si>
  <si>
    <t>Charlie Holden</t>
  </si>
  <si>
    <t>T49 3.00  1500M  Senior GIRLS  FINAL</t>
  </si>
  <si>
    <t>Isobel Fry</t>
  </si>
  <si>
    <t>Max Borgnis</t>
  </si>
  <si>
    <t>J McLaughlin</t>
  </si>
  <si>
    <t>A Brooks</t>
  </si>
  <si>
    <t>L Williams</t>
  </si>
  <si>
    <t>Zac Baylis</t>
  </si>
  <si>
    <t>Edouard Long</t>
  </si>
  <si>
    <t>Joel Lange</t>
  </si>
  <si>
    <t>Adam Gambrill</t>
  </si>
  <si>
    <t>Ben Rollings</t>
  </si>
  <si>
    <t>H Middleton</t>
  </si>
  <si>
    <t xml:space="preserve"> T50  3.15 1500M   Inter BOYS  FINAL</t>
  </si>
  <si>
    <t>T51  3.25 1500M  Senior  BOYS  FINAL</t>
  </si>
  <si>
    <t>Peter Cook</t>
  </si>
  <si>
    <t>Gus Skinner</t>
  </si>
  <si>
    <t>Matthew Rawlings</t>
  </si>
  <si>
    <t>Joe Steveni</t>
  </si>
  <si>
    <t>Niall Unger</t>
  </si>
  <si>
    <t>Jack Goddard</t>
  </si>
  <si>
    <t xml:space="preserve">  T54 3.45 1500M STEEPLECHASE  Inter BOYS</t>
  </si>
  <si>
    <t>Shaun Hudson</t>
  </si>
  <si>
    <t>Max Cooper</t>
  </si>
  <si>
    <t>Oliver McArthur</t>
  </si>
  <si>
    <t>Ben Wills</t>
  </si>
  <si>
    <t>Aaron Enser</t>
  </si>
  <si>
    <t>Surrey</t>
  </si>
  <si>
    <t xml:space="preserve">T55  3.55  2000M STEEPLECHASE Senior BOYS </t>
  </si>
  <si>
    <t>Ethan Tattersall</t>
  </si>
  <si>
    <t>Matt Bradly</t>
  </si>
  <si>
    <t>Chey Kemp</t>
  </si>
  <si>
    <t>William Brockman</t>
  </si>
  <si>
    <t>Martin Kopernicky</t>
  </si>
  <si>
    <t>T.61  4.30 3000M  Inter GIRLS FINAL</t>
  </si>
  <si>
    <t>Katie Rodda</t>
  </si>
  <si>
    <t>Niamh Reid-Smith</t>
  </si>
  <si>
    <t>T63   4.45 3000M   Inter BOYS FINAL</t>
  </si>
  <si>
    <t>Sam Hart</t>
  </si>
  <si>
    <t>M Martin</t>
  </si>
  <si>
    <t xml:space="preserve"> T64 4.45 3000M  Senior  BOYS FINAL</t>
  </si>
  <si>
    <t>Isaac Farnworth</t>
  </si>
  <si>
    <t>Sam Rodda</t>
  </si>
  <si>
    <t>T2 10.35 400mH Senior Girls</t>
  </si>
  <si>
    <t>M Shaw</t>
  </si>
  <si>
    <t>T62 4.30 3000m Final Senior girls</t>
  </si>
  <si>
    <t>Amelia Quirk</t>
  </si>
  <si>
    <t>Amy Forrest</t>
  </si>
  <si>
    <t>Kirsty Walker</t>
  </si>
  <si>
    <t>E Faulkner</t>
  </si>
  <si>
    <t>T52 3.35  1500M Steeplechase Inter Girls</t>
  </si>
  <si>
    <t>Maya Hodgson</t>
  </si>
  <si>
    <t>T53 3.35 1500m Steeplechase Senior Girls</t>
  </si>
  <si>
    <t>Rebecca Pope</t>
  </si>
  <si>
    <t>Alex Barbour</t>
  </si>
  <si>
    <t>Meg Ormond</t>
  </si>
  <si>
    <t>1500SC</t>
  </si>
  <si>
    <t>Patrick Weaver</t>
  </si>
  <si>
    <t>Joe Riley</t>
  </si>
  <si>
    <t>X Aurelien</t>
  </si>
  <si>
    <t>Olivia Downey</t>
  </si>
  <si>
    <t>Betty McAdden</t>
  </si>
  <si>
    <t>M Stark</t>
  </si>
  <si>
    <t>C Adkins</t>
  </si>
  <si>
    <t>2A</t>
  </si>
  <si>
    <t>DNF</t>
  </si>
  <si>
    <t>K. Dennison (WOK) 2014</t>
  </si>
  <si>
    <t>Shot Putt - 2.00</t>
  </si>
  <si>
    <t>300m heats - 1.35</t>
  </si>
  <si>
    <t xml:space="preserve">F14 </t>
  </si>
  <si>
    <t>Pole Vault Junior Girls</t>
  </si>
  <si>
    <t>A Ceccato</t>
  </si>
  <si>
    <t>Sinead Marshall</t>
  </si>
  <si>
    <t>D Khtava</t>
  </si>
  <si>
    <t>1A</t>
  </si>
  <si>
    <t>T Begley</t>
  </si>
  <si>
    <t>300m final - 3.05</t>
  </si>
  <si>
    <t>Adele Thomas</t>
  </si>
  <si>
    <t>1500m Steeplechase final - 3.15</t>
  </si>
  <si>
    <t>Emily Jones</t>
  </si>
  <si>
    <t>P Whitmore</t>
  </si>
  <si>
    <t>Ellie Cleveland</t>
  </si>
  <si>
    <t>Susie Mair</t>
  </si>
  <si>
    <t>Tom Hynes</t>
  </si>
  <si>
    <t>Suzie Liversedge</t>
  </si>
  <si>
    <t>Chante Williams</t>
  </si>
  <si>
    <t xml:space="preserve">Alex Haydock-Wilson </t>
  </si>
  <si>
    <t>Amelia Wilks</t>
  </si>
  <si>
    <t>Elena Carey</t>
  </si>
  <si>
    <t>Charlotte West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</si>
</sst>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dd\,\ mmmm\ dd\,\ yyyy"/>
    <numFmt numFmtId="166" formatCode="#,##0.00_ ;[Red]\-#,##0.00\ "/>
    <numFmt numFmtId="167" formatCode="#,##0_ ;[Red]\-#,##0\ "/>
    <numFmt numFmtId="168" formatCode="0.00_ ;[Red]\-0.00\ "/>
  </numFmts>
  <fonts count="7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indexed="10"/>
      <name val="Times New Roman"/>
      <family val="1"/>
    </font>
    <font>
      <sz val="16"/>
      <name val="Abadi MT Condensed Light"/>
      <family val="2"/>
    </font>
    <font>
      <sz val="10"/>
      <name val="Abadi MT Condensed Light"/>
      <family val="2"/>
    </font>
    <font>
      <b/>
      <sz val="10"/>
      <name val="Abadi MT Condensed Light"/>
      <family val="2"/>
    </font>
    <font>
      <sz val="8"/>
      <name val="Abadi MT Condensed Light"/>
      <family val="2"/>
    </font>
    <font>
      <sz val="7"/>
      <name val="Abadi MT Condensed Light"/>
      <family val="2"/>
    </font>
    <font>
      <sz val="9"/>
      <name val="Abadi MT Condensed Light"/>
      <family val="2"/>
    </font>
    <font>
      <b/>
      <sz val="9"/>
      <name val="Abadi MT Condensed Light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u val="single"/>
      <sz val="10"/>
      <name val="Abadi MT Condensed Light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0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10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1499900072813034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2" fontId="2" fillId="0" borderId="0" xfId="58" applyNumberFormat="1" applyFont="1" applyAlignment="1">
      <alignment horizontal="center"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4" fillId="0" borderId="0" xfId="57" applyNumberFormat="1" applyFont="1" applyAlignment="1">
      <alignment horizontal="center" vertical="center"/>
      <protection/>
    </xf>
    <xf numFmtId="0" fontId="4" fillId="0" borderId="0" xfId="57" applyFont="1" applyAlignment="1">
      <alignment horizontal="left" vertical="center"/>
      <protection/>
    </xf>
    <xf numFmtId="164" fontId="0" fillId="0" borderId="0" xfId="0" applyNumberFormat="1" applyFont="1" applyAlignment="1">
      <alignment horizontal="center" vertical="center"/>
    </xf>
    <xf numFmtId="1" fontId="4" fillId="0" borderId="0" xfId="58" applyNumberFormat="1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57" applyNumberFormat="1" applyFont="1" applyAlignment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Alignment="1">
      <alignment/>
    </xf>
    <xf numFmtId="1" fontId="4" fillId="0" borderId="0" xfId="58" applyNumberFormat="1" applyFont="1" applyFill="1" applyAlignment="1">
      <alignment horizontal="center" vertical="center"/>
      <protection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 horizontal="center" vertical="center"/>
    </xf>
    <xf numFmtId="0" fontId="18" fillId="0" borderId="0" xfId="57" applyFont="1" applyAlignment="1">
      <alignment horizontal="left" vertical="center"/>
      <protection/>
    </xf>
    <xf numFmtId="0" fontId="11" fillId="0" borderId="0" xfId="0" applyFont="1" applyAlignment="1">
      <alignment/>
    </xf>
    <xf numFmtId="1" fontId="18" fillId="0" borderId="0" xfId="57" applyNumberFormat="1" applyFont="1" applyAlignment="1">
      <alignment horizontal="center" vertical="center"/>
      <protection/>
    </xf>
    <xf numFmtId="164" fontId="18" fillId="0" borderId="0" xfId="57" applyNumberFormat="1" applyFont="1" applyAlignment="1">
      <alignment horizontal="left" vertical="center"/>
      <protection/>
    </xf>
    <xf numFmtId="164" fontId="15" fillId="0" borderId="0" xfId="0" applyNumberFormat="1" applyFont="1" applyAlignment="1">
      <alignment/>
    </xf>
    <xf numFmtId="47" fontId="0" fillId="0" borderId="0" xfId="0" applyNumberFormat="1" applyAlignment="1">
      <alignment/>
    </xf>
    <xf numFmtId="47" fontId="15" fillId="0" borderId="0" xfId="0" applyNumberFormat="1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47" fontId="16" fillId="0" borderId="0" xfId="0" applyNumberFormat="1" applyFont="1" applyAlignment="1">
      <alignment/>
    </xf>
    <xf numFmtId="0" fontId="24" fillId="0" borderId="11" xfId="55" applyNumberFormat="1" applyFont="1" applyBorder="1" applyAlignment="1" applyProtection="1">
      <alignment vertical="center"/>
      <protection hidden="1"/>
    </xf>
    <xf numFmtId="0" fontId="24" fillId="0" borderId="12" xfId="55" applyNumberFormat="1" applyFont="1" applyBorder="1" applyAlignment="1" applyProtection="1">
      <alignment vertical="center"/>
      <protection hidden="1"/>
    </xf>
    <xf numFmtId="0" fontId="24" fillId="0" borderId="0" xfId="55" applyNumberFormat="1" applyFont="1" applyBorder="1" applyAlignment="1" applyProtection="1">
      <alignment vertical="center"/>
      <protection hidden="1"/>
    </xf>
    <xf numFmtId="0" fontId="26" fillId="0" borderId="13" xfId="55" applyNumberFormat="1" applyFont="1" applyBorder="1" applyAlignment="1" applyProtection="1">
      <alignment horizontal="center" vertical="center"/>
      <protection hidden="1"/>
    </xf>
    <xf numFmtId="0" fontId="26" fillId="0" borderId="14" xfId="55" applyNumberFormat="1" applyFont="1" applyBorder="1" applyAlignment="1" applyProtection="1">
      <alignment horizontal="center" vertical="center"/>
      <protection hidden="1"/>
    </xf>
    <xf numFmtId="0" fontId="26" fillId="0" borderId="15" xfId="55" applyNumberFormat="1" applyFont="1" applyBorder="1" applyAlignment="1" applyProtection="1">
      <alignment horizontal="center" vertical="center"/>
      <protection hidden="1"/>
    </xf>
    <xf numFmtId="0" fontId="26" fillId="0" borderId="16" xfId="55" applyNumberFormat="1" applyFont="1" applyBorder="1" applyAlignment="1" applyProtection="1">
      <alignment horizontal="center" vertical="center"/>
      <protection hidden="1"/>
    </xf>
    <xf numFmtId="0" fontId="26" fillId="0" borderId="17" xfId="55" applyNumberFormat="1" applyFont="1" applyBorder="1" applyAlignment="1" applyProtection="1">
      <alignment horizontal="center" vertical="center"/>
      <protection hidden="1"/>
    </xf>
    <xf numFmtId="1" fontId="28" fillId="0" borderId="13" xfId="55" applyNumberFormat="1" applyFont="1" applyBorder="1" applyAlignment="1" applyProtection="1">
      <alignment horizontal="center" vertical="center"/>
      <protection hidden="1" locked="0"/>
    </xf>
    <xf numFmtId="3" fontId="24" fillId="0" borderId="13" xfId="55" applyNumberFormat="1" applyFont="1" applyBorder="1" applyAlignment="1" applyProtection="1">
      <alignment horizontal="left" vertical="center"/>
      <protection hidden="1"/>
    </xf>
    <xf numFmtId="167" fontId="28" fillId="0" borderId="13" xfId="55" applyNumberFormat="1" applyFont="1" applyBorder="1" applyAlignment="1" applyProtection="1">
      <alignment horizontal="center" vertical="center"/>
      <protection hidden="1"/>
    </xf>
    <xf numFmtId="166" fontId="28" fillId="0" borderId="13" xfId="55" applyNumberFormat="1" applyFont="1" applyBorder="1" applyAlignment="1" applyProtection="1">
      <alignment horizontal="center" vertical="center"/>
      <protection hidden="1"/>
    </xf>
    <xf numFmtId="0" fontId="26" fillId="0" borderId="0" xfId="55" applyNumberFormat="1" applyFont="1" applyBorder="1" applyAlignment="1" applyProtection="1">
      <alignment vertical="center"/>
      <protection hidden="1"/>
    </xf>
    <xf numFmtId="0" fontId="24" fillId="0" borderId="0" xfId="55" applyNumberFormat="1" applyFont="1" applyBorder="1" applyAlignment="1" applyProtection="1">
      <alignment horizontal="left" vertical="center"/>
      <protection hidden="1"/>
    </xf>
    <xf numFmtId="0" fontId="24" fillId="0" borderId="13" xfId="55" applyNumberFormat="1" applyFont="1" applyBorder="1" applyAlignment="1" applyProtection="1">
      <alignment horizontal="center" vertical="center"/>
      <protection hidden="1"/>
    </xf>
    <xf numFmtId="0" fontId="26" fillId="0" borderId="18" xfId="55" applyNumberFormat="1" applyFont="1" applyBorder="1" applyAlignment="1" applyProtection="1">
      <alignment vertical="center"/>
      <protection hidden="1"/>
    </xf>
    <xf numFmtId="0" fontId="26" fillId="0" borderId="11" xfId="55" applyNumberFormat="1" applyFont="1" applyBorder="1" applyAlignment="1" applyProtection="1">
      <alignment vertical="center"/>
      <protection hidden="1"/>
    </xf>
    <xf numFmtId="0" fontId="28" fillId="0" borderId="13" xfId="55" applyNumberFormat="1" applyFont="1" applyBorder="1" applyAlignment="1" applyProtection="1">
      <alignment horizontal="left" vertical="center"/>
      <protection hidden="1"/>
    </xf>
    <xf numFmtId="0" fontId="28" fillId="0" borderId="13" xfId="55" applyNumberFormat="1" applyFont="1" applyBorder="1" applyAlignment="1" applyProtection="1">
      <alignment horizontal="center" vertical="center"/>
      <protection hidden="1"/>
    </xf>
    <xf numFmtId="0" fontId="26" fillId="0" borderId="17" xfId="55" applyNumberFormat="1" applyFont="1" applyBorder="1" applyAlignment="1" applyProtection="1">
      <alignment vertical="center"/>
      <protection hidden="1"/>
    </xf>
    <xf numFmtId="0" fontId="26" fillId="0" borderId="19" xfId="55" applyNumberFormat="1" applyFont="1" applyBorder="1" applyAlignment="1" applyProtection="1">
      <alignment vertical="center"/>
      <protection hidden="1"/>
    </xf>
    <xf numFmtId="0" fontId="24" fillId="0" borderId="19" xfId="55" applyNumberFormat="1" applyFont="1" applyBorder="1" applyAlignment="1" applyProtection="1">
      <alignment vertical="center"/>
      <protection hidden="1"/>
    </xf>
    <xf numFmtId="0" fontId="24" fillId="0" borderId="20" xfId="55" applyNumberFormat="1" applyFont="1" applyBorder="1" applyAlignment="1" applyProtection="1">
      <alignment vertical="center"/>
      <protection hidden="1"/>
    </xf>
    <xf numFmtId="0" fontId="23" fillId="0" borderId="21" xfId="56" applyFont="1" applyBorder="1" applyAlignment="1" applyProtection="1">
      <alignment vertical="center"/>
      <protection hidden="1"/>
    </xf>
    <xf numFmtId="0" fontId="24" fillId="0" borderId="11" xfId="56" applyFont="1" applyBorder="1" applyAlignment="1" applyProtection="1">
      <alignment vertical="center"/>
      <protection hidden="1"/>
    </xf>
    <xf numFmtId="0" fontId="24" fillId="0" borderId="11" xfId="56" applyFont="1" applyBorder="1" applyAlignment="1" applyProtection="1">
      <alignment vertical="center"/>
      <protection/>
    </xf>
    <xf numFmtId="0" fontId="24" fillId="0" borderId="12" xfId="56" applyFont="1" applyBorder="1" applyAlignment="1" applyProtection="1">
      <alignment vertical="center"/>
      <protection hidden="1"/>
    </xf>
    <xf numFmtId="0" fontId="24" fillId="0" borderId="0" xfId="56" applyFont="1" applyBorder="1" applyAlignment="1" applyProtection="1">
      <alignment vertical="center"/>
      <protection hidden="1"/>
    </xf>
    <xf numFmtId="0" fontId="26" fillId="0" borderId="14" xfId="56" applyFont="1" applyBorder="1" applyAlignment="1" applyProtection="1">
      <alignment horizontal="center" vertical="center"/>
      <protection hidden="1"/>
    </xf>
    <xf numFmtId="0" fontId="26" fillId="0" borderId="15" xfId="56" applyFont="1" applyBorder="1" applyAlignment="1" applyProtection="1">
      <alignment horizontal="center" vertical="center"/>
      <protection hidden="1"/>
    </xf>
    <xf numFmtId="0" fontId="27" fillId="0" borderId="18" xfId="56" applyFont="1" applyBorder="1" applyAlignment="1" applyProtection="1">
      <alignment horizontal="center" vertical="center" textRotation="90" wrapText="1"/>
      <protection hidden="1"/>
    </xf>
    <xf numFmtId="0" fontId="26" fillId="0" borderId="16" xfId="56" applyFont="1" applyBorder="1" applyAlignment="1" applyProtection="1">
      <alignment horizontal="center" vertical="center"/>
      <protection hidden="1"/>
    </xf>
    <xf numFmtId="0" fontId="26" fillId="0" borderId="16" xfId="56" applyFont="1" applyBorder="1" applyAlignment="1" applyProtection="1">
      <alignment vertical="center"/>
      <protection hidden="1"/>
    </xf>
    <xf numFmtId="0" fontId="26" fillId="0" borderId="20" xfId="56" applyFont="1" applyBorder="1" applyAlignment="1" applyProtection="1">
      <alignment vertical="center"/>
      <protection hidden="1"/>
    </xf>
    <xf numFmtId="0" fontId="27" fillId="0" borderId="17" xfId="56" applyFont="1" applyBorder="1" applyAlignment="1" applyProtection="1">
      <alignment horizontal="center" vertical="center" textRotation="90" wrapText="1"/>
      <protection hidden="1"/>
    </xf>
    <xf numFmtId="0" fontId="28" fillId="0" borderId="13" xfId="56" applyFont="1" applyBorder="1" applyAlignment="1" applyProtection="1">
      <alignment horizontal="center" vertical="center"/>
      <protection hidden="1"/>
    </xf>
    <xf numFmtId="1" fontId="28" fillId="0" borderId="13" xfId="56" applyNumberFormat="1" applyFont="1" applyFill="1" applyBorder="1" applyAlignment="1" applyProtection="1">
      <alignment horizontal="center" vertical="center"/>
      <protection hidden="1" locked="0"/>
    </xf>
    <xf numFmtId="0" fontId="28" fillId="0" borderId="13" xfId="56" applyFont="1" applyFill="1" applyBorder="1" applyAlignment="1" applyProtection="1">
      <alignment horizontal="center" vertical="center"/>
      <protection hidden="1"/>
    </xf>
    <xf numFmtId="0" fontId="26" fillId="0" borderId="13" xfId="56" applyFont="1" applyBorder="1" applyAlignment="1" applyProtection="1">
      <alignment horizontal="center" vertical="center"/>
      <protection hidden="1"/>
    </xf>
    <xf numFmtId="168" fontId="19" fillId="0" borderId="0" xfId="0" applyNumberFormat="1" applyFont="1" applyAlignment="1">
      <alignment/>
    </xf>
    <xf numFmtId="0" fontId="26" fillId="0" borderId="0" xfId="56" applyFont="1" applyAlignment="1" applyProtection="1">
      <alignment vertical="center"/>
      <protection hidden="1"/>
    </xf>
    <xf numFmtId="0" fontId="24" fillId="0" borderId="0" xfId="56" applyFont="1" applyAlignment="1" applyProtection="1">
      <alignment vertical="center"/>
      <protection hidden="1"/>
    </xf>
    <xf numFmtId="0" fontId="24" fillId="0" borderId="0" xfId="56" applyFont="1" applyAlignment="1" applyProtection="1">
      <alignment vertical="center"/>
      <protection/>
    </xf>
    <xf numFmtId="0" fontId="26" fillId="0" borderId="18" xfId="56" applyFont="1" applyBorder="1" applyAlignment="1" applyProtection="1">
      <alignment horizontal="center" vertical="center"/>
      <protection hidden="1"/>
    </xf>
    <xf numFmtId="0" fontId="26" fillId="0" borderId="11" xfId="56" applyFont="1" applyBorder="1" applyAlignment="1" applyProtection="1">
      <alignment horizontal="center" vertical="center"/>
      <protection hidden="1"/>
    </xf>
    <xf numFmtId="0" fontId="26" fillId="0" borderId="11" xfId="56" applyFont="1" applyFill="1" applyBorder="1" applyAlignment="1" applyProtection="1">
      <alignment horizontal="center" vertical="center"/>
      <protection/>
    </xf>
    <xf numFmtId="0" fontId="26" fillId="0" borderId="11" xfId="56" applyFont="1" applyBorder="1" applyAlignment="1" applyProtection="1">
      <alignment vertical="center"/>
      <protection hidden="1"/>
    </xf>
    <xf numFmtId="0" fontId="26" fillId="0" borderId="12" xfId="56" applyFont="1" applyBorder="1" applyAlignment="1" applyProtection="1">
      <alignment vertical="center"/>
      <protection hidden="1"/>
    </xf>
    <xf numFmtId="0" fontId="26" fillId="0" borderId="0" xfId="56" applyFont="1" applyBorder="1" applyAlignment="1" applyProtection="1">
      <alignment vertical="center"/>
      <protection hidden="1"/>
    </xf>
    <xf numFmtId="0" fontId="24" fillId="0" borderId="13" xfId="56" applyFont="1" applyBorder="1" applyAlignment="1" applyProtection="1">
      <alignment horizontal="center" vertical="center"/>
      <protection hidden="1"/>
    </xf>
    <xf numFmtId="0" fontId="24" fillId="0" borderId="13" xfId="56" applyFont="1" applyBorder="1" applyAlignment="1" applyProtection="1">
      <alignment horizontal="left" vertical="center"/>
      <protection hidden="1"/>
    </xf>
    <xf numFmtId="0" fontId="26" fillId="0" borderId="17" xfId="56" applyFont="1" applyBorder="1" applyAlignment="1" applyProtection="1">
      <alignment vertical="center"/>
      <protection hidden="1"/>
    </xf>
    <xf numFmtId="0" fontId="26" fillId="0" borderId="19" xfId="56" applyFont="1" applyBorder="1" applyAlignment="1" applyProtection="1">
      <alignment vertical="center"/>
      <protection hidden="1"/>
    </xf>
    <xf numFmtId="0" fontId="26" fillId="0" borderId="19" xfId="56" applyFont="1" applyBorder="1" applyAlignment="1" applyProtection="1">
      <alignment vertical="center"/>
      <protection/>
    </xf>
    <xf numFmtId="0" fontId="24" fillId="0" borderId="19" xfId="56" applyFont="1" applyBorder="1" applyAlignment="1" applyProtection="1">
      <alignment vertical="center"/>
      <protection hidden="1"/>
    </xf>
    <xf numFmtId="0" fontId="24" fillId="0" borderId="20" xfId="56" applyFont="1" applyBorder="1" applyAlignment="1" applyProtection="1">
      <alignment vertical="center"/>
      <protection hidden="1"/>
    </xf>
    <xf numFmtId="0" fontId="26" fillId="0" borderId="22" xfId="56" applyFont="1" applyBorder="1" applyAlignment="1" applyProtection="1">
      <alignment vertical="center"/>
      <protection hidden="1"/>
    </xf>
    <xf numFmtId="0" fontId="26" fillId="0" borderId="0" xfId="56" applyFont="1" applyBorder="1" applyAlignment="1" applyProtection="1">
      <alignment vertical="center"/>
      <protection/>
    </xf>
    <xf numFmtId="0" fontId="24" fillId="0" borderId="15" xfId="56" applyFont="1" applyBorder="1" applyAlignment="1" applyProtection="1">
      <alignment vertical="center"/>
      <protection hidden="1"/>
    </xf>
    <xf numFmtId="0" fontId="26" fillId="0" borderId="18" xfId="56" applyFont="1" applyBorder="1" applyAlignment="1" applyProtection="1">
      <alignment vertical="center"/>
      <protection hidden="1"/>
    </xf>
    <xf numFmtId="0" fontId="26" fillId="0" borderId="11" xfId="56" applyFont="1" applyBorder="1" applyAlignment="1" applyProtection="1">
      <alignment vertical="center"/>
      <protection/>
    </xf>
    <xf numFmtId="0" fontId="24" fillId="0" borderId="19" xfId="56" applyFont="1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3" fontId="30" fillId="0" borderId="13" xfId="55" applyNumberFormat="1" applyFont="1" applyBorder="1" applyAlignment="1" applyProtection="1">
      <alignment horizontal="left" vertical="center"/>
      <protection hidden="1"/>
    </xf>
    <xf numFmtId="3" fontId="30" fillId="0" borderId="13" xfId="55" applyNumberFormat="1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Alignment="1">
      <alignment/>
    </xf>
    <xf numFmtId="2" fontId="2" fillId="0" borderId="0" xfId="58" applyNumberFormat="1" applyFont="1" applyAlignment="1" applyProtection="1">
      <alignment horizontal="center" vertical="center"/>
      <protection/>
    </xf>
    <xf numFmtId="0" fontId="2" fillId="0" borderId="0" xfId="58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2" fontId="2" fillId="0" borderId="0" xfId="58" applyNumberFormat="1" applyFont="1" applyAlignment="1" applyProtection="1">
      <alignment horizontal="center" vertical="center"/>
      <protection locked="0"/>
    </xf>
    <xf numFmtId="0" fontId="2" fillId="0" borderId="0" xfId="58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1" fontId="4" fillId="0" borderId="0" xfId="57" applyNumberFormat="1" applyFont="1" applyAlignment="1" applyProtection="1">
      <alignment horizontal="center" vertical="center"/>
      <protection locked="0"/>
    </xf>
    <xf numFmtId="0" fontId="4" fillId="0" borderId="0" xfId="57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58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0" borderId="0" xfId="58" applyNumberFormat="1" applyFont="1" applyAlignment="1" applyProtection="1">
      <alignment horizontal="center" vertical="center"/>
      <protection locked="0"/>
    </xf>
    <xf numFmtId="1" fontId="4" fillId="0" borderId="0" xfId="58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7" fontId="0" fillId="0" borderId="0" xfId="0" applyNumberFormat="1" applyFont="1" applyAlignment="1" applyProtection="1">
      <alignment horizontal="center" vertical="center"/>
      <protection locked="0"/>
    </xf>
    <xf numFmtId="47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14" fillId="0" borderId="0" xfId="0" applyFont="1" applyAlignment="1">
      <alignment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5" borderId="0" xfId="0" applyFill="1" applyAlignment="1">
      <alignment/>
    </xf>
    <xf numFmtId="3" fontId="0" fillId="0" borderId="13" xfId="55" applyNumberFormat="1" applyFont="1" applyFill="1" applyBorder="1" applyAlignment="1" applyProtection="1">
      <alignment horizontal="left" vertical="center"/>
      <protection hidden="1"/>
    </xf>
    <xf numFmtId="3" fontId="25" fillId="0" borderId="24" xfId="55" applyNumberFormat="1" applyFont="1" applyFill="1" applyBorder="1" applyAlignment="1" applyProtection="1">
      <alignment horizontal="left" vertical="center"/>
      <protection hidden="1"/>
    </xf>
    <xf numFmtId="3" fontId="25" fillId="0" borderId="25" xfId="55" applyNumberFormat="1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Alignment="1">
      <alignment/>
    </xf>
    <xf numFmtId="0" fontId="0" fillId="0" borderId="13" xfId="0" applyBorder="1" applyAlignment="1">
      <alignment/>
    </xf>
    <xf numFmtId="0" fontId="26" fillId="0" borderId="16" xfId="55" applyNumberFormat="1" applyFont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2" fontId="35" fillId="0" borderId="0" xfId="58" applyNumberFormat="1" applyFont="1" applyAlignment="1" applyProtection="1">
      <alignment horizontal="center" vertical="center"/>
      <protection locked="0"/>
    </xf>
    <xf numFmtId="0" fontId="35" fillId="0" borderId="0" xfId="58" applyFont="1" applyAlignment="1">
      <alignment horizontal="left" vertical="center"/>
      <protection/>
    </xf>
    <xf numFmtId="0" fontId="35" fillId="0" borderId="0" xfId="0" applyFont="1" applyAlignment="1">
      <alignment horizontal="left" vertical="center"/>
    </xf>
    <xf numFmtId="164" fontId="35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1" fontId="36" fillId="0" borderId="0" xfId="57" applyNumberFormat="1" applyFont="1" applyAlignment="1" applyProtection="1">
      <alignment horizontal="center" vertical="center"/>
      <protection locked="0"/>
    </xf>
    <xf numFmtId="0" fontId="36" fillId="0" borderId="0" xfId="57" applyFont="1" applyAlignment="1">
      <alignment horizontal="left" vertical="center"/>
      <protection/>
    </xf>
    <xf numFmtId="164" fontId="34" fillId="0" borderId="0" xfId="0" applyNumberFormat="1" applyFont="1" applyAlignment="1" applyProtection="1">
      <alignment horizontal="center" vertical="center"/>
      <protection locked="0"/>
    </xf>
    <xf numFmtId="164" fontId="33" fillId="0" borderId="0" xfId="0" applyNumberFormat="1" applyFont="1" applyAlignment="1" applyProtection="1">
      <alignment horizontal="center" vertical="center"/>
      <protection locked="0"/>
    </xf>
    <xf numFmtId="1" fontId="36" fillId="0" borderId="0" xfId="58" applyNumberFormat="1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8" fillId="0" borderId="13" xfId="55" applyFont="1" applyBorder="1" applyAlignment="1" applyProtection="1">
      <alignment horizontal="center" vertical="center"/>
      <protection hidden="1" locked="0"/>
    </xf>
    <xf numFmtId="0" fontId="24" fillId="0" borderId="13" xfId="55" applyFont="1" applyBorder="1" applyAlignment="1" applyProtection="1">
      <alignment horizontal="left" vertical="center"/>
      <protection hidden="1"/>
    </xf>
    <xf numFmtId="0" fontId="0" fillId="0" borderId="13" xfId="55" applyFont="1" applyFill="1" applyBorder="1" applyAlignment="1" applyProtection="1">
      <alignment horizontal="left" vertical="center"/>
      <protection hidden="1"/>
    </xf>
    <xf numFmtId="0" fontId="24" fillId="0" borderId="13" xfId="55" applyFont="1" applyFill="1" applyBorder="1" applyAlignment="1" applyProtection="1">
      <alignment horizontal="left" vertical="center"/>
      <protection hidden="1"/>
    </xf>
    <xf numFmtId="3" fontId="24" fillId="0" borderId="13" xfId="55" applyNumberFormat="1" applyFont="1" applyFill="1" applyBorder="1" applyAlignment="1" applyProtection="1">
      <alignment horizontal="left" vertical="center"/>
      <protection hidden="1"/>
    </xf>
    <xf numFmtId="3" fontId="25" fillId="0" borderId="13" xfId="55" applyNumberFormat="1" applyFont="1" applyFill="1" applyBorder="1" applyAlignment="1" applyProtection="1">
      <alignment horizontal="left" vertical="center"/>
      <protection hidden="1"/>
    </xf>
    <xf numFmtId="0" fontId="26" fillId="0" borderId="13" xfId="55" applyNumberFormat="1" applyFont="1" applyBorder="1" applyAlignment="1" applyProtection="1">
      <alignment horizontal="center" vertical="center"/>
      <protection hidden="1"/>
    </xf>
    <xf numFmtId="0" fontId="24" fillId="0" borderId="24" xfId="56" applyFont="1" applyBorder="1" applyAlignment="1" applyProtection="1">
      <alignment vertical="center"/>
      <protection hidden="1"/>
    </xf>
    <xf numFmtId="0" fontId="26" fillId="0" borderId="21" xfId="56" applyFont="1" applyFill="1" applyBorder="1" applyAlignment="1" applyProtection="1">
      <alignment horizontal="center" vertical="center"/>
      <protection hidden="1" locked="0"/>
    </xf>
    <xf numFmtId="0" fontId="26" fillId="0" borderId="25" xfId="56" applyFont="1" applyFill="1" applyBorder="1" applyAlignment="1" applyProtection="1">
      <alignment horizontal="center" vertical="center"/>
      <protection hidden="1" locked="0"/>
    </xf>
    <xf numFmtId="168" fontId="28" fillId="0" borderId="21" xfId="56" applyNumberFormat="1" applyFont="1" applyFill="1" applyBorder="1" applyAlignment="1" applyProtection="1">
      <alignment horizontal="right" vertical="center"/>
      <protection locked="0"/>
    </xf>
    <xf numFmtId="168" fontId="28" fillId="0" borderId="25" xfId="56" applyNumberFormat="1" applyFont="1" applyFill="1" applyBorder="1" applyAlignment="1" applyProtection="1">
      <alignment horizontal="right" vertical="center"/>
      <protection locked="0"/>
    </xf>
    <xf numFmtId="0" fontId="26" fillId="0" borderId="13" xfId="55" applyNumberFormat="1" applyFont="1" applyBorder="1" applyAlignment="1" applyProtection="1">
      <alignment horizontal="center" vertical="center"/>
      <protection hidden="1"/>
    </xf>
    <xf numFmtId="166" fontId="28" fillId="0" borderId="21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25" xfId="55" applyNumberFormat="1" applyFont="1" applyFill="1" applyBorder="1" applyAlignment="1" applyProtection="1">
      <alignment horizontal="center" vertical="center"/>
      <protection hidden="1" locked="0"/>
    </xf>
    <xf numFmtId="3" fontId="25" fillId="36" borderId="21" xfId="55" applyNumberFormat="1" applyFont="1" applyFill="1" applyBorder="1" applyAlignment="1" applyProtection="1">
      <alignment horizontal="left" vertical="center"/>
      <protection hidden="1"/>
    </xf>
    <xf numFmtId="3" fontId="25" fillId="36" borderId="24" xfId="55" applyNumberFormat="1" applyFont="1" applyFill="1" applyBorder="1" applyAlignment="1" applyProtection="1">
      <alignment horizontal="left" vertical="center"/>
      <protection hidden="1"/>
    </xf>
    <xf numFmtId="3" fontId="25" fillId="36" borderId="25" xfId="55" applyNumberFormat="1" applyFont="1" applyFill="1" applyBorder="1" applyAlignment="1" applyProtection="1">
      <alignment horizontal="left" vertical="center"/>
      <protection hidden="1"/>
    </xf>
    <xf numFmtId="3" fontId="25" fillId="0" borderId="25" xfId="55" applyNumberFormat="1" applyFont="1" applyFill="1" applyBorder="1" applyAlignment="1" applyProtection="1">
      <alignment horizontal="center" vertical="center"/>
      <protection hidden="1"/>
    </xf>
    <xf numFmtId="3" fontId="25" fillId="0" borderId="21" xfId="55" applyNumberFormat="1" applyFont="1" applyFill="1" applyBorder="1" applyAlignment="1" applyProtection="1">
      <alignment horizontal="center" vertical="center"/>
      <protection hidden="1"/>
    </xf>
    <xf numFmtId="3" fontId="0" fillId="0" borderId="13" xfId="55" applyNumberFormat="1" applyFont="1" applyFill="1" applyBorder="1" applyAlignment="1" applyProtection="1">
      <alignment vertical="center"/>
      <protection hidden="1"/>
    </xf>
    <xf numFmtId="0" fontId="24" fillId="0" borderId="13" xfId="55" applyNumberFormat="1" applyFont="1" applyBorder="1" applyAlignment="1" applyProtection="1">
      <alignment vertical="center"/>
      <protection hidden="1"/>
    </xf>
    <xf numFmtId="0" fontId="26" fillId="0" borderId="0" xfId="55" applyNumberFormat="1" applyFont="1" applyBorder="1" applyAlignment="1" applyProtection="1">
      <alignment horizontal="center" vertical="center"/>
      <protection hidden="1"/>
    </xf>
    <xf numFmtId="1" fontId="28" fillId="0" borderId="0" xfId="55" applyNumberFormat="1" applyFont="1" applyBorder="1" applyAlignment="1" applyProtection="1">
      <alignment horizontal="center" vertical="center"/>
      <protection hidden="1" locked="0"/>
    </xf>
    <xf numFmtId="3" fontId="24" fillId="0" borderId="0" xfId="55" applyNumberFormat="1" applyFont="1" applyBorder="1" applyAlignment="1" applyProtection="1">
      <alignment horizontal="left" vertical="center"/>
      <protection hidden="1"/>
    </xf>
    <xf numFmtId="166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0" xfId="55" applyNumberFormat="1" applyFont="1" applyBorder="1" applyAlignment="1" applyProtection="1">
      <alignment horizontal="center" vertical="center"/>
      <protection hidden="1"/>
    </xf>
    <xf numFmtId="167" fontId="28" fillId="0" borderId="0" xfId="55" applyNumberFormat="1" applyFont="1" applyBorder="1" applyAlignment="1" applyProtection="1">
      <alignment horizontal="center" vertical="center"/>
      <protection hidden="1"/>
    </xf>
    <xf numFmtId="0" fontId="24" fillId="0" borderId="11" xfId="56" applyFont="1" applyFill="1" applyBorder="1" applyAlignment="1" applyProtection="1">
      <alignment horizontal="center" vertical="center"/>
      <protection hidden="1"/>
    </xf>
    <xf numFmtId="0" fontId="24" fillId="0" borderId="11" xfId="56" applyFont="1" applyBorder="1" applyAlignment="1" applyProtection="1">
      <alignment horizontal="center" vertical="center"/>
      <protection hidden="1"/>
    </xf>
    <xf numFmtId="0" fontId="24" fillId="0" borderId="11" xfId="56" applyFont="1" applyBorder="1" applyAlignment="1" applyProtection="1">
      <alignment horizontal="left" vertical="center"/>
      <protection hidden="1"/>
    </xf>
    <xf numFmtId="2" fontId="24" fillId="0" borderId="11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Border="1" applyAlignment="1" applyProtection="1">
      <alignment vertical="center"/>
      <protection/>
    </xf>
    <xf numFmtId="0" fontId="24" fillId="0" borderId="18" xfId="56" applyFont="1" applyBorder="1" applyAlignment="1" applyProtection="1">
      <alignment horizontal="center" vertical="center"/>
      <protection hidden="1"/>
    </xf>
    <xf numFmtId="0" fontId="24" fillId="0" borderId="0" xfId="56" applyFont="1" applyBorder="1" applyAlignment="1" applyProtection="1">
      <alignment horizontal="center" vertical="center"/>
      <protection hidden="1"/>
    </xf>
    <xf numFmtId="0" fontId="24" fillId="0" borderId="0" xfId="56" applyFont="1" applyBorder="1" applyAlignment="1" applyProtection="1">
      <alignment horizontal="left" vertical="center"/>
      <protection hidden="1"/>
    </xf>
    <xf numFmtId="2" fontId="24" fillId="0" borderId="0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7" fillId="0" borderId="13" xfId="55" applyNumberFormat="1" applyFont="1" applyBorder="1" applyAlignment="1" applyProtection="1">
      <alignment vertical="center"/>
      <protection hidden="1"/>
    </xf>
    <xf numFmtId="0" fontId="26" fillId="0" borderId="13" xfId="55" applyNumberFormat="1" applyFont="1" applyBorder="1" applyAlignment="1" applyProtection="1">
      <alignment horizontal="center" vertical="center"/>
      <protection hidden="1"/>
    </xf>
    <xf numFmtId="166" fontId="28" fillId="0" borderId="21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25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21" xfId="55" applyNumberFormat="1" applyFont="1" applyBorder="1" applyAlignment="1" applyProtection="1">
      <alignment horizontal="center" vertical="center"/>
      <protection hidden="1"/>
    </xf>
    <xf numFmtId="166" fontId="28" fillId="0" borderId="25" xfId="55" applyNumberFormat="1" applyFont="1" applyBorder="1" applyAlignment="1" applyProtection="1">
      <alignment horizontal="center" vertical="center"/>
      <protection hidden="1"/>
    </xf>
    <xf numFmtId="166" fontId="28" fillId="0" borderId="13" xfId="55" applyNumberFormat="1" applyFont="1" applyBorder="1" applyAlignment="1" applyProtection="1">
      <alignment horizontal="center" vertical="center"/>
      <protection hidden="1"/>
    </xf>
    <xf numFmtId="166" fontId="28" fillId="0" borderId="21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25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21" xfId="55" applyNumberFormat="1" applyFont="1" applyBorder="1" applyAlignment="1" applyProtection="1">
      <alignment horizontal="center" vertical="center"/>
      <protection hidden="1"/>
    </xf>
    <xf numFmtId="166" fontId="28" fillId="0" borderId="25" xfId="55" applyNumberFormat="1" applyFont="1" applyBorder="1" applyAlignment="1" applyProtection="1">
      <alignment horizontal="center" vertical="center"/>
      <protection hidden="1"/>
    </xf>
    <xf numFmtId="0" fontId="26" fillId="0" borderId="21" xfId="55" applyNumberFormat="1" applyFont="1" applyBorder="1" applyAlignment="1" applyProtection="1">
      <alignment horizontal="center" vertical="center"/>
      <protection hidden="1"/>
    </xf>
    <xf numFmtId="0" fontId="28" fillId="0" borderId="21" xfId="55" applyNumberFormat="1" applyFont="1" applyBorder="1" applyAlignment="1" applyProtection="1">
      <alignment horizontal="left" vertical="center"/>
      <protection hidden="1"/>
    </xf>
    <xf numFmtId="0" fontId="28" fillId="0" borderId="24" xfId="55" applyNumberFormat="1" applyFont="1" applyBorder="1" applyAlignment="1" applyProtection="1">
      <alignment horizontal="left" vertical="center"/>
      <protection hidden="1"/>
    </xf>
    <xf numFmtId="0" fontId="28" fillId="0" borderId="25" xfId="55" applyNumberFormat="1" applyFont="1" applyBorder="1" applyAlignment="1" applyProtection="1">
      <alignment horizontal="left" vertical="center"/>
      <protection hidden="1"/>
    </xf>
    <xf numFmtId="2" fontId="28" fillId="0" borderId="21" xfId="55" applyNumberFormat="1" applyFont="1" applyBorder="1" applyAlignment="1" applyProtection="1">
      <alignment horizontal="right" vertical="center"/>
      <protection hidden="1"/>
    </xf>
    <xf numFmtId="2" fontId="28" fillId="0" borderId="25" xfId="55" applyNumberFormat="1" applyFont="1" applyBorder="1" applyAlignment="1" applyProtection="1">
      <alignment horizontal="right" vertical="center"/>
      <protection hidden="1"/>
    </xf>
    <xf numFmtId="0" fontId="26" fillId="0" borderId="13" xfId="55" applyNumberFormat="1" applyFont="1" applyBorder="1" applyAlignment="1" applyProtection="1">
      <alignment horizontal="center" vertical="center"/>
      <protection hidden="1"/>
    </xf>
    <xf numFmtId="0" fontId="26" fillId="0" borderId="16" xfId="55" applyNumberFormat="1" applyFont="1" applyBorder="1" applyAlignment="1" applyProtection="1">
      <alignment horizontal="center" vertical="center"/>
      <protection hidden="1"/>
    </xf>
    <xf numFmtId="0" fontId="24" fillId="0" borderId="13" xfId="55" applyNumberFormat="1" applyFont="1" applyBorder="1" applyAlignment="1" applyProtection="1">
      <alignment horizontal="center" vertical="center"/>
      <protection hidden="1"/>
    </xf>
    <xf numFmtId="166" fontId="28" fillId="0" borderId="13" xfId="55" applyNumberFormat="1" applyFont="1" applyBorder="1" applyAlignment="1" applyProtection="1">
      <alignment horizontal="center" vertical="center"/>
      <protection hidden="1"/>
    </xf>
    <xf numFmtId="0" fontId="24" fillId="0" borderId="25" xfId="56" applyFont="1" applyBorder="1" applyAlignment="1" applyProtection="1">
      <alignment vertical="center"/>
      <protection hidden="1"/>
    </xf>
    <xf numFmtId="0" fontId="24" fillId="0" borderId="24" xfId="56" applyFont="1" applyBorder="1" applyAlignment="1" applyProtection="1">
      <alignment vertical="center"/>
      <protection hidden="1"/>
    </xf>
    <xf numFmtId="0" fontId="26" fillId="0" borderId="21" xfId="56" applyFont="1" applyFill="1" applyBorder="1" applyAlignment="1" applyProtection="1">
      <alignment horizontal="center" vertical="center"/>
      <protection hidden="1" locked="0"/>
    </xf>
    <xf numFmtId="0" fontId="26" fillId="0" borderId="25" xfId="56" applyFont="1" applyFill="1" applyBorder="1" applyAlignment="1" applyProtection="1">
      <alignment horizontal="center" vertical="center"/>
      <protection hidden="1" locked="0"/>
    </xf>
    <xf numFmtId="168" fontId="28" fillId="0" borderId="21" xfId="56" applyNumberFormat="1" applyFont="1" applyFill="1" applyBorder="1" applyAlignment="1" applyProtection="1">
      <alignment horizontal="right" vertical="center"/>
      <protection locked="0"/>
    </xf>
    <xf numFmtId="168" fontId="28" fillId="0" borderId="25" xfId="56" applyNumberFormat="1" applyFont="1" applyFill="1" applyBorder="1" applyAlignment="1" applyProtection="1">
      <alignment horizontal="right" vertical="center"/>
      <protection locked="0"/>
    </xf>
    <xf numFmtId="3" fontId="25" fillId="0" borderId="13" xfId="55" applyNumberFormat="1" applyFont="1" applyFill="1" applyBorder="1" applyAlignment="1" applyProtection="1">
      <alignment horizontal="left" vertical="center"/>
      <protection hidden="1"/>
    </xf>
    <xf numFmtId="0" fontId="24" fillId="0" borderId="13" xfId="56" applyFont="1" applyBorder="1" applyAlignment="1" applyProtection="1">
      <alignment horizontal="center" vertical="center"/>
      <protection hidden="1"/>
    </xf>
    <xf numFmtId="0" fontId="24" fillId="0" borderId="13" xfId="56" applyFont="1" applyBorder="1" applyAlignment="1" applyProtection="1">
      <alignment horizontal="left" vertical="center"/>
      <protection hidden="1"/>
    </xf>
    <xf numFmtId="0" fontId="0" fillId="33" borderId="0" xfId="0" applyFill="1" applyAlignment="1">
      <alignment/>
    </xf>
    <xf numFmtId="3" fontId="25" fillId="0" borderId="20" xfId="55" applyNumberFormat="1" applyFont="1" applyFill="1" applyBorder="1" applyAlignment="1" applyProtection="1">
      <alignment horizontal="left" vertical="center"/>
      <protection hidden="1"/>
    </xf>
    <xf numFmtId="0" fontId="25" fillId="0" borderId="13" xfId="55" applyNumberFormat="1" applyFont="1" applyFill="1" applyBorder="1" applyAlignment="1" applyProtection="1">
      <alignment horizontal="center" vertical="center"/>
      <protection hidden="1"/>
    </xf>
    <xf numFmtId="0" fontId="24" fillId="0" borderId="21" xfId="55" applyNumberFormat="1" applyFont="1" applyFill="1" applyBorder="1" applyAlignment="1" applyProtection="1">
      <alignment horizontal="center" vertical="center"/>
      <protection hidden="1"/>
    </xf>
    <xf numFmtId="0" fontId="24" fillId="0" borderId="26" xfId="55" applyNumberFormat="1" applyFont="1" applyFill="1" applyBorder="1" applyAlignment="1" applyProtection="1">
      <alignment horizontal="center" vertical="center"/>
      <protection hidden="1"/>
    </xf>
    <xf numFmtId="1" fontId="28" fillId="0" borderId="27" xfId="55" applyNumberFormat="1" applyFont="1" applyBorder="1" applyAlignment="1" applyProtection="1">
      <alignment horizontal="center" vertical="center"/>
      <protection hidden="1" locked="0"/>
    </xf>
    <xf numFmtId="3" fontId="30" fillId="0" borderId="27" xfId="55" applyNumberFormat="1" applyFont="1" applyBorder="1" applyAlignment="1" applyProtection="1">
      <alignment horizontal="left" vertical="center"/>
      <protection hidden="1"/>
    </xf>
    <xf numFmtId="0" fontId="0" fillId="0" borderId="16" xfId="0" applyFill="1" applyBorder="1" applyAlignment="1">
      <alignment/>
    </xf>
    <xf numFmtId="3" fontId="30" fillId="0" borderId="16" xfId="55" applyNumberFormat="1" applyFont="1" applyBorder="1" applyAlignment="1" applyProtection="1">
      <alignment horizontal="left" vertical="center"/>
      <protection hidden="1"/>
    </xf>
    <xf numFmtId="3" fontId="25" fillId="36" borderId="17" xfId="55" applyNumberFormat="1" applyFont="1" applyFill="1" applyBorder="1" applyAlignment="1" applyProtection="1">
      <alignment horizontal="left" vertical="center"/>
      <protection hidden="1"/>
    </xf>
    <xf numFmtId="166" fontId="28" fillId="0" borderId="21" xfId="55" applyNumberFormat="1" applyFont="1" applyFill="1" applyBorder="1" applyAlignment="1" applyProtection="1">
      <alignment vertical="center"/>
      <protection hidden="1" locked="0"/>
    </xf>
    <xf numFmtId="166" fontId="28" fillId="0" borderId="25" xfId="55" applyNumberFormat="1" applyFont="1" applyFill="1" applyBorder="1" applyAlignment="1" applyProtection="1">
      <alignment vertical="center"/>
      <protection hidden="1" locked="0"/>
    </xf>
    <xf numFmtId="0" fontId="26" fillId="0" borderId="11" xfId="55" applyNumberFormat="1" applyFont="1" applyBorder="1" applyAlignment="1" applyProtection="1">
      <alignment horizontal="center" vertical="center"/>
      <protection hidden="1"/>
    </xf>
    <xf numFmtId="0" fontId="26" fillId="0" borderId="12" xfId="55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6" fillId="0" borderId="12" xfId="55" applyNumberFormat="1" applyFont="1" applyBorder="1" applyAlignment="1" applyProtection="1">
      <alignment vertical="center"/>
      <protection hidden="1"/>
    </xf>
    <xf numFmtId="0" fontId="26" fillId="0" borderId="22" xfId="55" applyNumberFormat="1" applyFont="1" applyBorder="1" applyAlignment="1" applyProtection="1">
      <alignment vertical="center"/>
      <protection hidden="1"/>
    </xf>
    <xf numFmtId="0" fontId="26" fillId="0" borderId="15" xfId="55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>
      <alignment horizontal="center" vertical="center"/>
    </xf>
    <xf numFmtId="166" fontId="28" fillId="0" borderId="21" xfId="55" applyNumberFormat="1" applyFont="1" applyBorder="1" applyAlignment="1" applyProtection="1">
      <alignment vertical="center"/>
      <protection hidden="1"/>
    </xf>
    <xf numFmtId="166" fontId="28" fillId="0" borderId="25" xfId="55" applyNumberFormat="1" applyFont="1" applyBorder="1" applyAlignment="1" applyProtection="1">
      <alignment vertical="center"/>
      <protection hidden="1"/>
    </xf>
    <xf numFmtId="166" fontId="28" fillId="0" borderId="13" xfId="55" applyNumberFormat="1" applyFont="1" applyBorder="1" applyAlignment="1" applyProtection="1">
      <alignment vertical="center"/>
      <protection hidden="1"/>
    </xf>
    <xf numFmtId="0" fontId="0" fillId="33" borderId="0" xfId="0" applyFont="1" applyFill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24" fillId="0" borderId="24" xfId="56" applyFont="1" applyBorder="1" applyAlignment="1" applyProtection="1">
      <alignment vertical="center"/>
      <protection/>
    </xf>
    <xf numFmtId="168" fontId="19" fillId="0" borderId="13" xfId="0" applyNumberFormat="1" applyFont="1" applyBorder="1" applyAlignment="1">
      <alignment/>
    </xf>
    <xf numFmtId="0" fontId="38" fillId="36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57" applyFont="1" applyFill="1" applyAlignment="1">
      <alignment horizontal="left" vertical="center"/>
      <protection/>
    </xf>
    <xf numFmtId="47" fontId="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left"/>
    </xf>
    <xf numFmtId="0" fontId="72" fillId="0" borderId="0" xfId="0" applyFont="1" applyAlignment="1">
      <alignment/>
    </xf>
    <xf numFmtId="47" fontId="0" fillId="0" borderId="0" xfId="0" applyNumberFormat="1" applyAlignment="1" applyProtection="1">
      <alignment horizontal="center"/>
      <protection locked="0"/>
    </xf>
    <xf numFmtId="47" fontId="0" fillId="36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64" fontId="4" fillId="0" borderId="0" xfId="57" applyNumberFormat="1" applyFont="1" applyAlignment="1" applyProtection="1">
      <alignment horizontal="center" vertical="center"/>
      <protection locked="0"/>
    </xf>
    <xf numFmtId="47" fontId="15" fillId="36" borderId="0" xfId="0" applyNumberFormat="1" applyFont="1" applyFill="1" applyAlignment="1">
      <alignment/>
    </xf>
    <xf numFmtId="2" fontId="15" fillId="36" borderId="0" xfId="0" applyNumberFormat="1" applyFont="1" applyFill="1" applyAlignment="1">
      <alignment/>
    </xf>
    <xf numFmtId="2" fontId="15" fillId="37" borderId="0" xfId="0" applyNumberFormat="1" applyFont="1" applyFill="1" applyAlignment="1">
      <alignment/>
    </xf>
    <xf numFmtId="164" fontId="15" fillId="36" borderId="0" xfId="0" applyNumberFormat="1" applyFont="1" applyFill="1" applyAlignment="1">
      <alignment/>
    </xf>
    <xf numFmtId="164" fontId="15" fillId="37" borderId="0" xfId="0" applyNumberFormat="1" applyFont="1" applyFill="1" applyAlignment="1">
      <alignment/>
    </xf>
    <xf numFmtId="47" fontId="15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47" fontId="15" fillId="36" borderId="0" xfId="0" applyNumberFormat="1" applyFont="1" applyFill="1" applyBorder="1" applyAlignment="1">
      <alignment/>
    </xf>
    <xf numFmtId="164" fontId="15" fillId="36" borderId="0" xfId="0" applyNumberFormat="1" applyFont="1" applyFill="1" applyBorder="1" applyAlignment="1">
      <alignment/>
    </xf>
    <xf numFmtId="47" fontId="15" fillId="37" borderId="0" xfId="0" applyNumberFormat="1" applyFont="1" applyFill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7" fontId="5" fillId="0" borderId="0" xfId="0" applyNumberFormat="1" applyFont="1" applyAlignment="1" applyProtection="1">
      <alignment horizontal="center"/>
      <protection locked="0"/>
    </xf>
    <xf numFmtId="0" fontId="5" fillId="0" borderId="0" xfId="57" applyFont="1" applyAlignment="1">
      <alignment horizontal="left"/>
      <protection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0" fillId="33" borderId="0" xfId="0" applyFill="1" applyAlignment="1">
      <alignment horizontal="left"/>
    </xf>
    <xf numFmtId="0" fontId="23" fillId="0" borderId="21" xfId="55" applyNumberFormat="1" applyFont="1" applyBorder="1" applyAlignment="1" applyProtection="1">
      <alignment horizontal="left" vertical="center"/>
      <protection hidden="1"/>
    </xf>
    <xf numFmtId="0" fontId="23" fillId="0" borderId="24" xfId="55" applyNumberFormat="1" applyFont="1" applyBorder="1" applyAlignment="1" applyProtection="1">
      <alignment horizontal="left" vertical="center"/>
      <protection hidden="1"/>
    </xf>
    <xf numFmtId="0" fontId="23" fillId="0" borderId="25" xfId="55" applyNumberFormat="1" applyFont="1" applyBorder="1" applyAlignment="1" applyProtection="1">
      <alignment horizontal="left" vertical="center"/>
      <protection hidden="1"/>
    </xf>
    <xf numFmtId="0" fontId="25" fillId="0" borderId="21" xfId="55" applyNumberFormat="1" applyFont="1" applyBorder="1" applyAlignment="1" applyProtection="1">
      <alignment horizontal="center" vertical="center"/>
      <protection hidden="1"/>
    </xf>
    <xf numFmtId="0" fontId="25" fillId="0" borderId="25" xfId="55" applyNumberFormat="1" applyFont="1" applyBorder="1" applyAlignment="1" applyProtection="1">
      <alignment horizontal="center" vertical="center"/>
      <protection hidden="1"/>
    </xf>
    <xf numFmtId="0" fontId="24" fillId="0" borderId="21" xfId="55" applyNumberFormat="1" applyFont="1" applyBorder="1" applyAlignment="1" applyProtection="1">
      <alignment horizontal="center" vertical="center"/>
      <protection hidden="1"/>
    </xf>
    <xf numFmtId="0" fontId="24" fillId="0" borderId="25" xfId="55" applyNumberFormat="1" applyFont="1" applyBorder="1" applyAlignment="1" applyProtection="1">
      <alignment horizontal="center" vertical="center"/>
      <protection hidden="1"/>
    </xf>
    <xf numFmtId="0" fontId="25" fillId="0" borderId="24" xfId="55" applyNumberFormat="1" applyFont="1" applyBorder="1" applyAlignment="1" applyProtection="1">
      <alignment horizontal="center" vertical="center"/>
      <protection hidden="1"/>
    </xf>
    <xf numFmtId="0" fontId="24" fillId="0" borderId="24" xfId="55" applyNumberFormat="1" applyFont="1" applyBorder="1" applyAlignment="1" applyProtection="1">
      <alignment horizontal="center" vertical="center"/>
      <protection hidden="1"/>
    </xf>
    <xf numFmtId="0" fontId="24" fillId="0" borderId="11" xfId="55" applyNumberFormat="1" applyFont="1" applyBorder="1" applyAlignment="1" applyProtection="1">
      <alignment horizontal="center" vertical="center"/>
      <protection hidden="1"/>
    </xf>
    <xf numFmtId="0" fontId="24" fillId="0" borderId="12" xfId="55" applyNumberFormat="1" applyFont="1" applyBorder="1" applyAlignment="1" applyProtection="1">
      <alignment horizontal="center" vertical="center"/>
      <protection hidden="1"/>
    </xf>
    <xf numFmtId="0" fontId="25" fillId="0" borderId="18" xfId="55" applyNumberFormat="1" applyFont="1" applyBorder="1" applyAlignment="1" applyProtection="1">
      <alignment horizontal="center" vertical="center"/>
      <protection hidden="1"/>
    </xf>
    <xf numFmtId="0" fontId="25" fillId="0" borderId="11" xfId="55" applyNumberFormat="1" applyFont="1" applyBorder="1" applyAlignment="1" applyProtection="1">
      <alignment horizontal="center" vertical="center"/>
      <protection hidden="1"/>
    </xf>
    <xf numFmtId="0" fontId="25" fillId="0" borderId="12" xfId="55" applyNumberFormat="1" applyFont="1" applyBorder="1" applyAlignment="1" applyProtection="1">
      <alignment horizontal="center" vertical="center"/>
      <protection hidden="1"/>
    </xf>
    <xf numFmtId="165" fontId="24" fillId="0" borderId="21" xfId="55" applyNumberFormat="1" applyFont="1" applyBorder="1" applyAlignment="1" applyProtection="1">
      <alignment horizontal="center" vertical="center"/>
      <protection hidden="1" locked="0"/>
    </xf>
    <xf numFmtId="165" fontId="24" fillId="0" borderId="24" xfId="55" applyNumberFormat="1" applyFont="1" applyBorder="1" applyAlignment="1" applyProtection="1">
      <alignment horizontal="center" vertical="center"/>
      <protection hidden="1" locked="0"/>
    </xf>
    <xf numFmtId="165" fontId="24" fillId="0" borderId="25" xfId="55" applyNumberFormat="1" applyFont="1" applyBorder="1" applyAlignment="1" applyProtection="1">
      <alignment horizontal="center" vertical="center"/>
      <protection hidden="1" locked="0"/>
    </xf>
    <xf numFmtId="0" fontId="26" fillId="0" borderId="13" xfId="55" applyNumberFormat="1" applyFont="1" applyBorder="1" applyAlignment="1" applyProtection="1">
      <alignment horizontal="center" vertical="center"/>
      <protection hidden="1"/>
    </xf>
    <xf numFmtId="0" fontId="26" fillId="0" borderId="21" xfId="55" applyNumberFormat="1" applyFont="1" applyBorder="1" applyAlignment="1" applyProtection="1">
      <alignment horizontal="center" vertical="center"/>
      <protection hidden="1"/>
    </xf>
    <xf numFmtId="0" fontId="27" fillId="0" borderId="16" xfId="55" applyNumberFormat="1" applyFont="1" applyBorder="1" applyAlignment="1" applyProtection="1">
      <alignment horizontal="center" vertical="center" textRotation="90" wrapText="1"/>
      <protection hidden="1"/>
    </xf>
    <xf numFmtId="0" fontId="27" fillId="0" borderId="13" xfId="55" applyNumberFormat="1" applyFont="1" applyBorder="1" applyAlignment="1" applyProtection="1">
      <alignment horizontal="center" vertical="center" textRotation="90" wrapText="1"/>
      <protection hidden="1"/>
    </xf>
    <xf numFmtId="0" fontId="26" fillId="0" borderId="16" xfId="55" applyNumberFormat="1" applyFont="1" applyBorder="1" applyAlignment="1" applyProtection="1">
      <alignment horizontal="center" vertical="center"/>
      <protection hidden="1"/>
    </xf>
    <xf numFmtId="0" fontId="26" fillId="0" borderId="17" xfId="55" applyNumberFormat="1" applyFont="1" applyBorder="1" applyAlignment="1" applyProtection="1">
      <alignment horizontal="center" vertical="center"/>
      <protection hidden="1"/>
    </xf>
    <xf numFmtId="0" fontId="27" fillId="0" borderId="14" xfId="55" applyNumberFormat="1" applyFont="1" applyBorder="1" applyAlignment="1" applyProtection="1">
      <alignment horizontal="center" vertical="center" textRotation="90" wrapText="1"/>
      <protection hidden="1"/>
    </xf>
    <xf numFmtId="0" fontId="26" fillId="0" borderId="24" xfId="55" applyNumberFormat="1" applyFont="1" applyBorder="1" applyAlignment="1" applyProtection="1">
      <alignment horizontal="center" vertical="center"/>
      <protection hidden="1"/>
    </xf>
    <xf numFmtId="0" fontId="26" fillId="0" borderId="25" xfId="55" applyNumberFormat="1" applyFont="1" applyBorder="1" applyAlignment="1" applyProtection="1">
      <alignment horizontal="center" vertical="center"/>
      <protection hidden="1"/>
    </xf>
    <xf numFmtId="0" fontId="26" fillId="0" borderId="20" xfId="55" applyNumberFormat="1" applyFont="1" applyBorder="1" applyAlignment="1" applyProtection="1">
      <alignment horizontal="center" vertical="center"/>
      <protection hidden="1"/>
    </xf>
    <xf numFmtId="0" fontId="25" fillId="36" borderId="21" xfId="55" applyNumberFormat="1" applyFont="1" applyFill="1" applyBorder="1" applyAlignment="1" applyProtection="1">
      <alignment horizontal="center" vertical="center"/>
      <protection hidden="1"/>
    </xf>
    <xf numFmtId="0" fontId="24" fillId="36" borderId="24" xfId="55" applyNumberFormat="1" applyFont="1" applyFill="1" applyBorder="1" applyAlignment="1" applyProtection="1">
      <alignment horizontal="center" vertical="center"/>
      <protection hidden="1"/>
    </xf>
    <xf numFmtId="0" fontId="24" fillId="36" borderId="25" xfId="55" applyNumberFormat="1" applyFont="1" applyFill="1" applyBorder="1" applyAlignment="1" applyProtection="1">
      <alignment horizontal="center" vertical="center"/>
      <protection hidden="1"/>
    </xf>
    <xf numFmtId="166" fontId="28" fillId="0" borderId="21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25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21" xfId="55" applyNumberFormat="1" applyFont="1" applyBorder="1" applyAlignment="1" applyProtection="1">
      <alignment horizontal="center" vertical="center"/>
      <protection hidden="1"/>
    </xf>
    <xf numFmtId="166" fontId="28" fillId="0" borderId="25" xfId="55" applyNumberFormat="1" applyFont="1" applyBorder="1" applyAlignment="1" applyProtection="1">
      <alignment horizontal="center" vertical="center"/>
      <protection hidden="1"/>
    </xf>
    <xf numFmtId="3" fontId="25" fillId="36" borderId="21" xfId="55" applyNumberFormat="1" applyFont="1" applyFill="1" applyBorder="1" applyAlignment="1" applyProtection="1">
      <alignment horizontal="left" vertical="center"/>
      <protection hidden="1"/>
    </xf>
    <xf numFmtId="3" fontId="25" fillId="36" borderId="24" xfId="55" applyNumberFormat="1" applyFont="1" applyFill="1" applyBorder="1" applyAlignment="1" applyProtection="1">
      <alignment horizontal="left" vertical="center"/>
      <protection hidden="1"/>
    </xf>
    <xf numFmtId="3" fontId="25" fillId="36" borderId="25" xfId="55" applyNumberFormat="1" applyFont="1" applyFill="1" applyBorder="1" applyAlignment="1" applyProtection="1">
      <alignment horizontal="left" vertical="center"/>
      <protection hidden="1"/>
    </xf>
    <xf numFmtId="0" fontId="25" fillId="0" borderId="21" xfId="55" applyNumberFormat="1" applyFont="1" applyBorder="1" applyAlignment="1" applyProtection="1">
      <alignment horizontal="right" vertical="center"/>
      <protection hidden="1" locked="0"/>
    </xf>
    <xf numFmtId="0" fontId="25" fillId="0" borderId="25" xfId="55" applyNumberFormat="1" applyFont="1" applyBorder="1" applyAlignment="1" applyProtection="1">
      <alignment horizontal="right" vertical="center"/>
      <protection hidden="1" locked="0"/>
    </xf>
    <xf numFmtId="0" fontId="24" fillId="0" borderId="24" xfId="55" applyNumberFormat="1" applyFont="1" applyBorder="1" applyAlignment="1" applyProtection="1">
      <alignment horizontal="center" vertical="center"/>
      <protection hidden="1" locked="0"/>
    </xf>
    <xf numFmtId="0" fontId="24" fillId="0" borderId="25" xfId="55" applyNumberFormat="1" applyFont="1" applyBorder="1" applyAlignment="1" applyProtection="1">
      <alignment horizontal="center" vertical="center"/>
      <protection hidden="1" locked="0"/>
    </xf>
    <xf numFmtId="0" fontId="24" fillId="34" borderId="21" xfId="55" applyNumberFormat="1" applyFont="1" applyFill="1" applyBorder="1" applyAlignment="1" applyProtection="1">
      <alignment horizontal="center" vertical="center"/>
      <protection hidden="1" locked="0"/>
    </xf>
    <xf numFmtId="0" fontId="24" fillId="34" borderId="25" xfId="55" applyNumberFormat="1" applyFont="1" applyFill="1" applyBorder="1" applyAlignment="1" applyProtection="1">
      <alignment horizontal="center" vertical="center"/>
      <protection hidden="1" locked="0"/>
    </xf>
    <xf numFmtId="20" fontId="24" fillId="34" borderId="21" xfId="55" applyNumberFormat="1" applyFont="1" applyFill="1" applyBorder="1" applyAlignment="1" applyProtection="1">
      <alignment horizontal="center" vertical="center"/>
      <protection hidden="1" locked="0"/>
    </xf>
    <xf numFmtId="20" fontId="24" fillId="34" borderId="25" xfId="55" applyNumberFormat="1" applyFont="1" applyFill="1" applyBorder="1" applyAlignment="1" applyProtection="1">
      <alignment horizontal="center" vertical="center"/>
      <protection hidden="1" locked="0"/>
    </xf>
    <xf numFmtId="0" fontId="24" fillId="0" borderId="21" xfId="55" applyNumberFormat="1" applyFont="1" applyBorder="1" applyAlignment="1" applyProtection="1">
      <alignment horizontal="center" vertical="center"/>
      <protection hidden="1" locked="0"/>
    </xf>
    <xf numFmtId="3" fontId="25" fillId="36" borderId="18" xfId="55" applyNumberFormat="1" applyFont="1" applyFill="1" applyBorder="1" applyAlignment="1" applyProtection="1">
      <alignment horizontal="left" vertical="center"/>
      <protection hidden="1"/>
    </xf>
    <xf numFmtId="3" fontId="25" fillId="36" borderId="20" xfId="55" applyNumberFormat="1" applyFont="1" applyFill="1" applyBorder="1" applyAlignment="1" applyProtection="1">
      <alignment horizontal="left" vertical="center"/>
      <protection hidden="1"/>
    </xf>
    <xf numFmtId="2" fontId="28" fillId="0" borderId="21" xfId="55" applyNumberFormat="1" applyFont="1" applyBorder="1" applyAlignment="1" applyProtection="1">
      <alignment horizontal="center" vertical="center"/>
      <protection hidden="1"/>
    </xf>
    <xf numFmtId="2" fontId="28" fillId="0" borderId="25" xfId="55" applyNumberFormat="1" applyFont="1" applyBorder="1" applyAlignment="1" applyProtection="1">
      <alignment horizontal="center" vertical="center"/>
      <protection hidden="1"/>
    </xf>
    <xf numFmtId="0" fontId="28" fillId="0" borderId="21" xfId="55" applyNumberFormat="1" applyFont="1" applyBorder="1" applyAlignment="1" applyProtection="1">
      <alignment horizontal="left" vertical="center"/>
      <protection hidden="1"/>
    </xf>
    <xf numFmtId="0" fontId="28" fillId="0" borderId="24" xfId="55" applyNumberFormat="1" applyFont="1" applyBorder="1" applyAlignment="1" applyProtection="1">
      <alignment horizontal="left" vertical="center"/>
      <protection hidden="1"/>
    </xf>
    <xf numFmtId="0" fontId="28" fillId="0" borderId="25" xfId="55" applyNumberFormat="1" applyFont="1" applyBorder="1" applyAlignment="1" applyProtection="1">
      <alignment horizontal="left" vertical="center"/>
      <protection hidden="1"/>
    </xf>
    <xf numFmtId="2" fontId="28" fillId="0" borderId="21" xfId="55" applyNumberFormat="1" applyFont="1" applyBorder="1" applyAlignment="1" applyProtection="1">
      <alignment horizontal="right" vertical="center"/>
      <protection hidden="1"/>
    </xf>
    <xf numFmtId="2" fontId="28" fillId="0" borderId="25" xfId="55" applyNumberFormat="1" applyFont="1" applyBorder="1" applyAlignment="1" applyProtection="1">
      <alignment horizontal="right" vertical="center"/>
      <protection hidden="1"/>
    </xf>
    <xf numFmtId="0" fontId="26" fillId="0" borderId="21" xfId="55" applyNumberFormat="1" applyFont="1" applyFill="1" applyBorder="1" applyAlignment="1" applyProtection="1">
      <alignment horizontal="center" vertical="center"/>
      <protection hidden="1"/>
    </xf>
    <xf numFmtId="0" fontId="26" fillId="0" borderId="24" xfId="55" applyNumberFormat="1" applyFont="1" applyFill="1" applyBorder="1" applyAlignment="1" applyProtection="1">
      <alignment horizontal="center" vertical="center"/>
      <protection hidden="1"/>
    </xf>
    <xf numFmtId="0" fontId="26" fillId="0" borderId="25" xfId="55" applyNumberFormat="1" applyFont="1" applyFill="1" applyBorder="1" applyAlignment="1" applyProtection="1">
      <alignment horizontal="center" vertical="center"/>
      <protection hidden="1"/>
    </xf>
    <xf numFmtId="0" fontId="24" fillId="0" borderId="13" xfId="55" applyNumberFormat="1" applyFont="1" applyBorder="1" applyAlignment="1" applyProtection="1">
      <alignment horizontal="center" vertical="center"/>
      <protection hidden="1"/>
    </xf>
    <xf numFmtId="0" fontId="24" fillId="0" borderId="13" xfId="55" applyNumberFormat="1" applyFont="1" applyBorder="1" applyAlignment="1" applyProtection="1" quotePrefix="1">
      <alignment horizontal="center" vertical="center"/>
      <protection hidden="1"/>
    </xf>
    <xf numFmtId="0" fontId="24" fillId="0" borderId="24" xfId="55" applyNumberFormat="1" applyFont="1" applyBorder="1" applyAlignment="1" applyProtection="1" quotePrefix="1">
      <alignment horizontal="center" vertical="center"/>
      <protection hidden="1"/>
    </xf>
    <xf numFmtId="0" fontId="24" fillId="0" borderId="25" xfId="55" applyNumberFormat="1" applyFont="1" applyBorder="1" applyAlignment="1" applyProtection="1" quotePrefix="1">
      <alignment horizontal="center" vertical="center"/>
      <protection hidden="1"/>
    </xf>
    <xf numFmtId="166" fontId="28" fillId="0" borderId="13" xfId="55" applyNumberFormat="1" applyFont="1" applyFill="1" applyBorder="1" applyAlignment="1" applyProtection="1">
      <alignment horizontal="center" vertical="center"/>
      <protection hidden="1" locked="0"/>
    </xf>
    <xf numFmtId="166" fontId="28" fillId="0" borderId="13" xfId="55" applyNumberFormat="1" applyFont="1" applyBorder="1" applyAlignment="1" applyProtection="1">
      <alignment horizontal="center" vertical="center"/>
      <protection hidden="1"/>
    </xf>
    <xf numFmtId="3" fontId="25" fillId="0" borderId="24" xfId="55" applyNumberFormat="1" applyFont="1" applyFill="1" applyBorder="1" applyAlignment="1" applyProtection="1">
      <alignment horizontal="center" vertical="center"/>
      <protection hidden="1"/>
    </xf>
    <xf numFmtId="3" fontId="25" fillId="0" borderId="25" xfId="55" applyNumberFormat="1" applyFont="1" applyFill="1" applyBorder="1" applyAlignment="1" applyProtection="1">
      <alignment horizontal="center" vertical="center"/>
      <protection hidden="1"/>
    </xf>
    <xf numFmtId="3" fontId="25" fillId="0" borderId="21" xfId="55" applyNumberFormat="1" applyFont="1" applyFill="1" applyBorder="1" applyAlignment="1" applyProtection="1">
      <alignment horizontal="left" vertical="center"/>
      <protection hidden="1"/>
    </xf>
    <xf numFmtId="3" fontId="25" fillId="0" borderId="25" xfId="55" applyNumberFormat="1" applyFont="1" applyFill="1" applyBorder="1" applyAlignment="1" applyProtection="1">
      <alignment horizontal="left" vertical="center"/>
      <protection hidden="1"/>
    </xf>
    <xf numFmtId="2" fontId="28" fillId="0" borderId="13" xfId="55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2" fontId="24" fillId="0" borderId="21" xfId="56" applyNumberFormat="1" applyFont="1" applyBorder="1" applyAlignment="1" applyProtection="1">
      <alignment horizontal="right" vertical="center"/>
      <protection hidden="1"/>
    </xf>
    <xf numFmtId="2" fontId="24" fillId="0" borderId="25" xfId="56" applyNumberFormat="1" applyFont="1" applyBorder="1" applyAlignment="1" applyProtection="1">
      <alignment horizontal="right" vertical="center"/>
      <protection hidden="1"/>
    </xf>
    <xf numFmtId="0" fontId="24" fillId="0" borderId="21" xfId="56" applyFont="1" applyFill="1" applyBorder="1" applyAlignment="1" applyProtection="1">
      <alignment horizontal="center" vertical="center"/>
      <protection hidden="1"/>
    </xf>
    <xf numFmtId="0" fontId="24" fillId="0" borderId="25" xfId="56" applyFont="1" applyFill="1" applyBorder="1" applyAlignment="1" applyProtection="1">
      <alignment horizontal="center" vertical="center"/>
      <protection hidden="1"/>
    </xf>
    <xf numFmtId="0" fontId="24" fillId="0" borderId="21" xfId="56" applyFont="1" applyBorder="1" applyAlignment="1" applyProtection="1">
      <alignment horizontal="center" vertical="center"/>
      <protection hidden="1"/>
    </xf>
    <xf numFmtId="0" fontId="24" fillId="0" borderId="25" xfId="56" applyFont="1" applyBorder="1" applyAlignment="1" applyProtection="1">
      <alignment horizontal="center" vertical="center"/>
      <protection hidden="1"/>
    </xf>
    <xf numFmtId="0" fontId="24" fillId="0" borderId="21" xfId="56" applyFont="1" applyBorder="1" applyAlignment="1" applyProtection="1">
      <alignment horizontal="left" vertical="center"/>
      <protection hidden="1"/>
    </xf>
    <xf numFmtId="0" fontId="24" fillId="0" borderId="24" xfId="56" applyFont="1" applyBorder="1" applyAlignment="1" applyProtection="1">
      <alignment horizontal="left" vertical="center"/>
      <protection hidden="1"/>
    </xf>
    <xf numFmtId="0" fontId="24" fillId="0" borderId="25" xfId="56" applyFont="1" applyBorder="1" applyAlignment="1" applyProtection="1">
      <alignment horizontal="left" vertical="center"/>
      <protection hidden="1"/>
    </xf>
    <xf numFmtId="0" fontId="26" fillId="0" borderId="21" xfId="56" applyFont="1" applyBorder="1" applyAlignment="1" applyProtection="1">
      <alignment horizontal="center" vertical="center"/>
      <protection hidden="1"/>
    </xf>
    <xf numFmtId="0" fontId="24" fillId="0" borderId="24" xfId="56" applyFont="1" applyBorder="1" applyAlignment="1" applyProtection="1">
      <alignment vertical="center"/>
      <protection hidden="1"/>
    </xf>
    <xf numFmtId="0" fontId="24" fillId="0" borderId="25" xfId="56" applyFont="1" applyBorder="1" applyAlignment="1" applyProtection="1">
      <alignment vertical="center"/>
      <protection hidden="1"/>
    </xf>
    <xf numFmtId="0" fontId="26" fillId="0" borderId="25" xfId="56" applyFont="1" applyBorder="1" applyAlignment="1" applyProtection="1">
      <alignment horizontal="center" vertical="center"/>
      <protection hidden="1"/>
    </xf>
    <xf numFmtId="0" fontId="26" fillId="0" borderId="24" xfId="56" applyFont="1" applyFill="1" applyBorder="1" applyAlignment="1" applyProtection="1">
      <alignment horizontal="center" vertical="center"/>
      <protection hidden="1"/>
    </xf>
    <xf numFmtId="0" fontId="26" fillId="0" borderId="21" xfId="56" applyFont="1" applyFill="1" applyBorder="1" applyAlignment="1" applyProtection="1">
      <alignment horizontal="center" vertical="center"/>
      <protection hidden="1" locked="0"/>
    </xf>
    <xf numFmtId="0" fontId="26" fillId="0" borderId="25" xfId="56" applyFont="1" applyFill="1" applyBorder="1" applyAlignment="1" applyProtection="1">
      <alignment horizontal="center" vertical="center"/>
      <protection hidden="1" locked="0"/>
    </xf>
    <xf numFmtId="168" fontId="28" fillId="0" borderId="21" xfId="56" applyNumberFormat="1" applyFont="1" applyFill="1" applyBorder="1" applyAlignment="1" applyProtection="1">
      <alignment horizontal="right" vertical="center"/>
      <protection locked="0"/>
    </xf>
    <xf numFmtId="168" fontId="28" fillId="0" borderId="25" xfId="56" applyNumberFormat="1" applyFont="1" applyFill="1" applyBorder="1" applyAlignment="1" applyProtection="1">
      <alignment horizontal="right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hidden="1"/>
    </xf>
    <xf numFmtId="0" fontId="26" fillId="0" borderId="21" xfId="56" applyFont="1" applyFill="1" applyBorder="1" applyAlignment="1" applyProtection="1">
      <alignment horizontal="center" vertical="center"/>
      <protection/>
    </xf>
    <xf numFmtId="0" fontId="24" fillId="0" borderId="25" xfId="56" applyFont="1" applyFill="1" applyBorder="1" applyAlignment="1" applyProtection="1">
      <alignment vertical="center"/>
      <protection/>
    </xf>
    <xf numFmtId="0" fontId="25" fillId="0" borderId="21" xfId="56" applyFont="1" applyBorder="1" applyAlignment="1" applyProtection="1">
      <alignment horizontal="center" vertical="center"/>
      <protection hidden="1"/>
    </xf>
    <xf numFmtId="0" fontId="25" fillId="0" borderId="25" xfId="56" applyFont="1" applyBorder="1" applyAlignment="1" applyProtection="1">
      <alignment horizontal="center" vertical="center"/>
      <protection hidden="1"/>
    </xf>
    <xf numFmtId="0" fontId="25" fillId="0" borderId="24" xfId="56" applyFont="1" applyBorder="1" applyAlignment="1" applyProtection="1">
      <alignment horizontal="center" vertical="center"/>
      <protection hidden="1"/>
    </xf>
    <xf numFmtId="0" fontId="24" fillId="0" borderId="24" xfId="56" applyFont="1" applyBorder="1" applyAlignment="1" applyProtection="1">
      <alignment horizontal="center" vertical="center"/>
      <protection hidden="1"/>
    </xf>
    <xf numFmtId="165" fontId="24" fillId="0" borderId="21" xfId="56" applyNumberFormat="1" applyFont="1" applyBorder="1" applyAlignment="1" applyProtection="1">
      <alignment horizontal="center" vertical="center"/>
      <protection hidden="1"/>
    </xf>
    <xf numFmtId="165" fontId="24" fillId="0" borderId="24" xfId="56" applyNumberFormat="1" applyFont="1" applyBorder="1" applyAlignment="1" applyProtection="1">
      <alignment horizontal="center" vertical="center"/>
      <protection hidden="1"/>
    </xf>
    <xf numFmtId="165" fontId="24" fillId="0" borderId="11" xfId="56" applyNumberFormat="1" applyFont="1" applyBorder="1" applyAlignment="1" applyProtection="1">
      <alignment horizontal="center" vertical="center"/>
      <protection hidden="1"/>
    </xf>
    <xf numFmtId="165" fontId="24" fillId="0" borderId="12" xfId="56" applyNumberFormat="1" applyFont="1" applyBorder="1" applyAlignment="1" applyProtection="1">
      <alignment horizontal="center" vertical="center"/>
      <protection hidden="1"/>
    </xf>
    <xf numFmtId="20" fontId="24" fillId="34" borderId="21" xfId="56" applyNumberFormat="1" applyFont="1" applyFill="1" applyBorder="1" applyAlignment="1" applyProtection="1">
      <alignment horizontal="center" vertical="center"/>
      <protection hidden="1" locked="0"/>
    </xf>
    <xf numFmtId="20" fontId="24" fillId="34" borderId="24" xfId="56" applyNumberFormat="1" applyFont="1" applyFill="1" applyBorder="1" applyAlignment="1" applyProtection="1">
      <alignment horizontal="center" vertical="center"/>
      <protection hidden="1" locked="0"/>
    </xf>
    <xf numFmtId="20" fontId="24" fillId="34" borderId="25" xfId="56" applyNumberFormat="1" applyFont="1" applyFill="1" applyBorder="1" applyAlignment="1" applyProtection="1">
      <alignment horizontal="center" vertical="center"/>
      <protection hidden="1" locked="0"/>
    </xf>
    <xf numFmtId="0" fontId="24" fillId="0" borderId="21" xfId="56" applyFont="1" applyBorder="1" applyAlignment="1" applyProtection="1">
      <alignment horizontal="center" vertical="center"/>
      <protection hidden="1" locked="0"/>
    </xf>
    <xf numFmtId="0" fontId="24" fillId="0" borderId="24" xfId="56" applyFont="1" applyBorder="1" applyAlignment="1" applyProtection="1">
      <alignment horizontal="center" vertical="center"/>
      <protection hidden="1" locked="0"/>
    </xf>
    <xf numFmtId="0" fontId="24" fillId="0" borderId="25" xfId="56" applyFont="1" applyBorder="1" applyAlignment="1" applyProtection="1">
      <alignment horizontal="center" vertical="center"/>
      <protection hidden="1" locked="0"/>
    </xf>
    <xf numFmtId="0" fontId="29" fillId="0" borderId="21" xfId="56" applyFont="1" applyBorder="1" applyAlignment="1" applyProtection="1">
      <alignment horizontal="right" vertical="center"/>
      <protection hidden="1" locked="0"/>
    </xf>
    <xf numFmtId="0" fontId="29" fillId="0" borderId="24" xfId="56" applyFont="1" applyBorder="1" applyAlignment="1" applyProtection="1">
      <alignment horizontal="right" vertical="center"/>
      <protection hidden="1" locked="0"/>
    </xf>
    <xf numFmtId="0" fontId="29" fillId="0" borderId="25" xfId="56" applyFont="1" applyBorder="1" applyAlignment="1" applyProtection="1">
      <alignment horizontal="right" vertical="center"/>
      <protection hidden="1" locked="0"/>
    </xf>
    <xf numFmtId="0" fontId="28" fillId="0" borderId="21" xfId="56" applyFont="1" applyBorder="1" applyAlignment="1" applyProtection="1">
      <alignment horizontal="center" vertical="center"/>
      <protection hidden="1" locked="0"/>
    </xf>
    <xf numFmtId="0" fontId="28" fillId="0" borderId="24" xfId="56" applyFont="1" applyBorder="1" applyAlignment="1" applyProtection="1">
      <alignment horizontal="center" vertical="center"/>
      <protection hidden="1" locked="0"/>
    </xf>
    <xf numFmtId="0" fontId="28" fillId="0" borderId="25" xfId="56" applyFont="1" applyBorder="1" applyAlignment="1" applyProtection="1">
      <alignment horizontal="center" vertical="center"/>
      <protection hidden="1" locked="0"/>
    </xf>
    <xf numFmtId="2" fontId="26" fillId="0" borderId="21" xfId="56" applyNumberFormat="1" applyFont="1" applyFill="1" applyBorder="1" applyAlignment="1" applyProtection="1">
      <alignment horizontal="center" vertical="center"/>
      <protection hidden="1" locked="0"/>
    </xf>
    <xf numFmtId="2" fontId="26" fillId="0" borderId="24" xfId="56" applyNumberFormat="1" applyFont="1" applyFill="1" applyBorder="1" applyAlignment="1" applyProtection="1">
      <alignment horizontal="center" vertical="center"/>
      <protection hidden="1" locked="0"/>
    </xf>
    <xf numFmtId="0" fontId="26" fillId="0" borderId="17" xfId="56" applyFont="1" applyFill="1" applyBorder="1" applyAlignment="1" applyProtection="1">
      <alignment horizontal="center" vertical="center"/>
      <protection/>
    </xf>
    <xf numFmtId="0" fontId="24" fillId="0" borderId="20" xfId="56" applyFont="1" applyFill="1" applyBorder="1" applyAlignment="1" applyProtection="1">
      <alignment vertical="center"/>
      <protection/>
    </xf>
    <xf numFmtId="0" fontId="27" fillId="0" borderId="14" xfId="56" applyFont="1" applyBorder="1" applyAlignment="1" applyProtection="1">
      <alignment horizontal="center" vertical="center" textRotation="90" wrapText="1"/>
      <protection hidden="1"/>
    </xf>
    <xf numFmtId="0" fontId="24" fillId="0" borderId="16" xfId="56" applyFont="1" applyBorder="1" applyAlignment="1" applyProtection="1">
      <alignment vertical="center"/>
      <protection hidden="1"/>
    </xf>
    <xf numFmtId="0" fontId="27" fillId="0" borderId="27" xfId="56" applyFont="1" applyBorder="1" applyAlignment="1" applyProtection="1">
      <alignment horizontal="center" vertical="center" textRotation="90" wrapText="1"/>
      <protection hidden="1"/>
    </xf>
    <xf numFmtId="0" fontId="27" fillId="0" borderId="16" xfId="56" applyFont="1" applyBorder="1" applyAlignment="1" applyProtection="1">
      <alignment horizontal="center" vertical="center" textRotation="90" wrapText="1"/>
      <protection hidden="1"/>
    </xf>
    <xf numFmtId="0" fontId="26" fillId="0" borderId="18" xfId="56" applyFont="1" applyBorder="1" applyAlignment="1" applyProtection="1">
      <alignment horizontal="center" vertical="center" wrapText="1"/>
      <protection hidden="1"/>
    </xf>
    <xf numFmtId="0" fontId="26" fillId="0" borderId="12" xfId="56" applyFont="1" applyBorder="1" applyAlignment="1" applyProtection="1">
      <alignment horizontal="center" vertical="center" wrapText="1"/>
      <protection hidden="1"/>
    </xf>
    <xf numFmtId="0" fontId="26" fillId="0" borderId="17" xfId="56" applyFont="1" applyBorder="1" applyAlignment="1" applyProtection="1">
      <alignment horizontal="center" vertical="center" wrapText="1"/>
      <protection hidden="1"/>
    </xf>
    <xf numFmtId="0" fontId="26" fillId="0" borderId="20" xfId="56" applyFont="1" applyBorder="1" applyAlignment="1" applyProtection="1">
      <alignment horizontal="center" vertical="center" wrapText="1"/>
      <protection hidden="1"/>
    </xf>
    <xf numFmtId="2" fontId="24" fillId="0" borderId="13" xfId="56" applyNumberFormat="1" applyFont="1" applyBorder="1" applyAlignment="1" applyProtection="1">
      <alignment horizontal="right" vertical="center"/>
      <protection hidden="1"/>
    </xf>
    <xf numFmtId="0" fontId="24" fillId="0" borderId="13" xfId="56" applyFont="1" applyFill="1" applyBorder="1" applyAlignment="1" applyProtection="1">
      <alignment horizontal="center" vertical="center"/>
      <protection hidden="1"/>
    </xf>
    <xf numFmtId="0" fontId="24" fillId="0" borderId="13" xfId="56" applyFont="1" applyBorder="1" applyAlignment="1" applyProtection="1">
      <alignment horizontal="center" vertical="center"/>
      <protection hidden="1"/>
    </xf>
    <xf numFmtId="0" fontId="24" fillId="0" borderId="13" xfId="56" applyFont="1" applyBorder="1" applyAlignment="1" applyProtection="1">
      <alignment horizontal="left" vertical="center"/>
      <protection hidden="1"/>
    </xf>
    <xf numFmtId="0" fontId="24" fillId="0" borderId="21" xfId="55" applyNumberFormat="1" applyFont="1" applyFill="1" applyBorder="1" applyAlignment="1" applyProtection="1">
      <alignment horizontal="center" vertical="center"/>
      <protection hidden="1"/>
    </xf>
    <xf numFmtId="0" fontId="24" fillId="0" borderId="25" xfId="55" applyNumberFormat="1" applyFont="1" applyFill="1" applyBorder="1" applyAlignment="1" applyProtection="1">
      <alignment horizontal="center" vertical="center"/>
      <protection hidden="1"/>
    </xf>
    <xf numFmtId="165" fontId="24" fillId="0" borderId="25" xfId="56" applyNumberFormat="1" applyFont="1" applyBorder="1" applyAlignment="1" applyProtection="1">
      <alignment horizontal="center" vertical="center"/>
      <protection hidden="1"/>
    </xf>
    <xf numFmtId="2" fontId="26" fillId="0" borderId="25" xfId="56" applyNumberFormat="1" applyFont="1" applyFill="1" applyBorder="1" applyAlignment="1" applyProtection="1">
      <alignment horizontal="center" vertical="center"/>
      <protection hidden="1" locked="0"/>
    </xf>
    <xf numFmtId="0" fontId="26" fillId="0" borderId="25" xfId="56" applyFont="1" applyFill="1" applyBorder="1" applyAlignment="1" applyProtection="1">
      <alignment horizontal="center" vertical="center"/>
      <protection hidden="1"/>
    </xf>
    <xf numFmtId="3" fontId="25" fillId="0" borderId="21" xfId="55" applyNumberFormat="1" applyFont="1" applyFill="1" applyBorder="1" applyAlignment="1" applyProtection="1">
      <alignment horizontal="center" vertical="center"/>
      <protection hidden="1"/>
    </xf>
    <xf numFmtId="3" fontId="25" fillId="36" borderId="21" xfId="55" applyNumberFormat="1" applyFont="1" applyFill="1" applyBorder="1" applyAlignment="1" applyProtection="1">
      <alignment horizontal="center" vertical="center"/>
      <protection hidden="1"/>
    </xf>
    <xf numFmtId="3" fontId="25" fillId="36" borderId="24" xfId="55" applyNumberFormat="1" applyFont="1" applyFill="1" applyBorder="1" applyAlignment="1" applyProtection="1">
      <alignment horizontal="center" vertical="center"/>
      <protection hidden="1"/>
    </xf>
    <xf numFmtId="3" fontId="25" fillId="36" borderId="25" xfId="55" applyNumberFormat="1" applyFont="1" applyFill="1" applyBorder="1" applyAlignment="1" applyProtection="1">
      <alignment horizontal="center" vertical="center"/>
      <protection hidden="1"/>
    </xf>
    <xf numFmtId="0" fontId="26" fillId="0" borderId="13" xfId="56" applyFont="1" applyFill="1" applyBorder="1" applyAlignment="1" applyProtection="1">
      <alignment horizontal="center" vertical="center"/>
      <protection hidden="1" locked="0"/>
    </xf>
    <xf numFmtId="3" fontId="25" fillId="36" borderId="13" xfId="55" applyNumberFormat="1" applyFont="1" applyFill="1" applyBorder="1" applyAlignment="1" applyProtection="1">
      <alignment horizontal="left" vertical="center"/>
      <protection hidden="1"/>
    </xf>
    <xf numFmtId="3" fontId="25" fillId="0" borderId="13" xfId="55" applyNumberFormat="1" applyFont="1" applyFill="1" applyBorder="1" applyAlignment="1" applyProtection="1">
      <alignment horizontal="left" vertical="center"/>
      <protection hidden="1"/>
    </xf>
    <xf numFmtId="168" fontId="28" fillId="0" borderId="21" xfId="56" applyNumberFormat="1" applyFont="1" applyFill="1" applyBorder="1" applyAlignment="1" applyProtection="1">
      <alignment horizontal="center" vertical="center"/>
      <protection locked="0"/>
    </xf>
    <xf numFmtId="168" fontId="28" fillId="0" borderId="25" xfId="56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AU20_DistanceCards" xfId="55"/>
    <cellStyle name="Normal_AAAU20_HeightCards" xfId="56"/>
    <cellStyle name="Normal_Field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12.8515625" style="0" customWidth="1"/>
    <col min="3" max="3" width="13.140625" style="0" customWidth="1"/>
    <col min="4" max="4" width="14.7109375" style="0" customWidth="1"/>
    <col min="5" max="5" width="14.00390625" style="0" customWidth="1"/>
    <col min="6" max="6" width="14.57421875" style="0" customWidth="1"/>
  </cols>
  <sheetData>
    <row r="1" spans="1:2" s="23" customFormat="1" ht="15.75">
      <c r="A1" s="23" t="s">
        <v>115</v>
      </c>
      <c r="B1" s="23" t="s">
        <v>17</v>
      </c>
    </row>
    <row r="2" s="23" customFormat="1" ht="15.75"/>
    <row r="3" spans="2:8" s="14" customFormat="1" ht="12.75">
      <c r="B3" s="24" t="s">
        <v>16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14" t="s">
        <v>122</v>
      </c>
    </row>
    <row r="4" spans="1:8" ht="12.75">
      <c r="A4" s="14" t="s">
        <v>116</v>
      </c>
      <c r="B4">
        <f>jgresults!W16</f>
        <v>37</v>
      </c>
      <c r="C4">
        <f>jgresults!X16</f>
        <v>27</v>
      </c>
      <c r="D4">
        <f>jgresults!Y16</f>
        <v>51</v>
      </c>
      <c r="E4">
        <f>jgresults!Z16</f>
        <v>60</v>
      </c>
      <c r="F4">
        <f>jgresults!AA16</f>
        <v>33</v>
      </c>
      <c r="G4">
        <f>jgresults!AB16</f>
        <v>19</v>
      </c>
      <c r="H4" s="14">
        <f aca="true" t="shared" si="0" ref="H4:H9">SUM(B4:G4)</f>
        <v>227</v>
      </c>
    </row>
    <row r="5" spans="1:8" ht="12.75">
      <c r="A5" s="14" t="s">
        <v>117</v>
      </c>
      <c r="B5">
        <f>jbresults!W18</f>
        <v>56</v>
      </c>
      <c r="C5">
        <f>jbresults!X18</f>
        <v>39</v>
      </c>
      <c r="D5">
        <f>jbresults!Y18</f>
        <v>54</v>
      </c>
      <c r="E5">
        <f>jbresults!Z18</f>
        <v>15</v>
      </c>
      <c r="F5">
        <f>jbresults!AA18</f>
        <v>43</v>
      </c>
      <c r="G5">
        <f>jbresults!AB18</f>
        <v>49</v>
      </c>
      <c r="H5" s="14">
        <f t="shared" si="0"/>
        <v>256</v>
      </c>
    </row>
    <row r="6" spans="1:8" ht="12.75">
      <c r="A6" s="14" t="s">
        <v>118</v>
      </c>
      <c r="B6">
        <f>igresults!W21</f>
        <v>47</v>
      </c>
      <c r="C6">
        <f>igresults!X21</f>
        <v>54</v>
      </c>
      <c r="D6">
        <f>igresults!Y21</f>
        <v>71</v>
      </c>
      <c r="E6">
        <f>igresults!Z21</f>
        <v>79</v>
      </c>
      <c r="F6">
        <f>igresults!AA21</f>
        <v>36</v>
      </c>
      <c r="G6">
        <f>igresults!AB21</f>
        <v>7</v>
      </c>
      <c r="H6" s="14">
        <f t="shared" si="0"/>
        <v>294</v>
      </c>
    </row>
    <row r="7" spans="1:8" ht="12.75">
      <c r="A7" s="14" t="s">
        <v>119</v>
      </c>
      <c r="B7">
        <f>ibresults!W22</f>
        <v>65</v>
      </c>
      <c r="C7">
        <f>ibresults!X22</f>
        <v>33</v>
      </c>
      <c r="D7">
        <f>ibresults!Y22</f>
        <v>73</v>
      </c>
      <c r="E7">
        <f>ibresults!Z22</f>
        <v>36</v>
      </c>
      <c r="F7">
        <f>ibresults!AA22</f>
        <v>61</v>
      </c>
      <c r="G7">
        <f>ibresults!AB22</f>
        <v>30</v>
      </c>
      <c r="H7" s="14">
        <f t="shared" si="0"/>
        <v>298</v>
      </c>
    </row>
    <row r="8" spans="1:8" ht="12.75">
      <c r="A8" s="14" t="s">
        <v>120</v>
      </c>
      <c r="B8">
        <f>sgresults!W21</f>
        <v>23</v>
      </c>
      <c r="C8">
        <f>sgresults!X21</f>
        <v>12</v>
      </c>
      <c r="D8">
        <f>sgresults!Y21</f>
        <v>23</v>
      </c>
      <c r="E8">
        <f>sgresults!Z21</f>
        <v>17</v>
      </c>
      <c r="F8">
        <f>sgresults!AA21</f>
        <v>27</v>
      </c>
      <c r="G8">
        <f>sgresults!AB21</f>
        <v>6</v>
      </c>
      <c r="H8" s="14">
        <f t="shared" si="0"/>
        <v>108</v>
      </c>
    </row>
    <row r="9" spans="1:8" ht="12.75">
      <c r="A9" s="14" t="s">
        <v>121</v>
      </c>
      <c r="B9">
        <f>sbresults!W21</f>
        <v>5</v>
      </c>
      <c r="C9">
        <f>sbresults!X21</f>
        <v>35</v>
      </c>
      <c r="D9">
        <f>sbresults!Y21</f>
        <v>33</v>
      </c>
      <c r="E9">
        <f>sbresults!Z21</f>
        <v>4</v>
      </c>
      <c r="F9">
        <f>sbresults!AA21</f>
        <v>38</v>
      </c>
      <c r="G9">
        <f>sbresults!AB21</f>
        <v>35</v>
      </c>
      <c r="H9" s="14">
        <f t="shared" si="0"/>
        <v>150</v>
      </c>
    </row>
    <row r="10" ht="12.75">
      <c r="A10" s="14"/>
    </row>
    <row r="11" spans="1:7" ht="12.75">
      <c r="A11" s="14" t="s">
        <v>122</v>
      </c>
      <c r="B11" s="14">
        <f aca="true" t="shared" si="1" ref="B11:G11">SUM(B4:B10)</f>
        <v>233</v>
      </c>
      <c r="C11" s="14">
        <f t="shared" si="1"/>
        <v>200</v>
      </c>
      <c r="D11" s="14">
        <f t="shared" si="1"/>
        <v>305</v>
      </c>
      <c r="E11" s="14">
        <f t="shared" si="1"/>
        <v>211</v>
      </c>
      <c r="F11" s="14">
        <f t="shared" si="1"/>
        <v>238</v>
      </c>
      <c r="G11" s="14">
        <f t="shared" si="1"/>
        <v>146</v>
      </c>
    </row>
  </sheetData>
  <sheetProtection/>
  <printOptions gridLines="1"/>
  <pageMargins left="0.31496062992125984" right="0.3937007874015748" top="2.23" bottom="1.5748031496062993" header="0.5511811023622047" footer="0.7874015748031497"/>
  <pageSetup horizontalDpi="300" verticalDpi="300" orientation="portrait" paperSize="9" r:id="rId2"/>
  <headerFooter alignWithMargins="0">
    <oddHeader>&amp;C&amp;G&amp;"Arial,Bold"&amp;16 &amp;"Arial,Regular"Berkshire Schools Track &amp;&amp; Field Championships
Saturday, 14 June 2008
Palmer Park Reading&amp;10
</oddHeader>
    <oddFooter>&amp;C&amp;G &amp; Results: Sarah Fowler - Newbury Athletic Club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K223"/>
  <sheetViews>
    <sheetView zoomScalePageLayoutView="0" workbookViewId="0" topLeftCell="A1">
      <pane ySplit="1" topLeftCell="A85" activePane="bottomLeft" state="frozen"/>
      <selection pane="topLeft" activeCell="A1" sqref="A1"/>
      <selection pane="bottomLeft" activeCell="G99" sqref="G99"/>
    </sheetView>
  </sheetViews>
  <sheetFormatPr defaultColWidth="9.140625" defaultRowHeight="12.75"/>
  <cols>
    <col min="2" max="2" width="9.140625" style="144" customWidth="1"/>
    <col min="5" max="5" width="9.140625" style="144" customWidth="1"/>
    <col min="7" max="8" width="5.57421875" style="55" customWidth="1"/>
  </cols>
  <sheetData>
    <row r="1" spans="1:8" s="14" customFormat="1" ht="12.75">
      <c r="A1" s="14" t="s">
        <v>27</v>
      </c>
      <c r="B1" s="143"/>
      <c r="E1" s="143"/>
      <c r="G1" s="51"/>
      <c r="H1" s="51"/>
    </row>
    <row r="3" ht="12.75">
      <c r="A3" s="42" t="s">
        <v>130</v>
      </c>
    </row>
    <row r="4" spans="1:11" ht="12.75">
      <c r="A4" s="1" t="s">
        <v>0</v>
      </c>
      <c r="B4" s="134" t="s">
        <v>1</v>
      </c>
      <c r="C4" s="3" t="s">
        <v>2</v>
      </c>
      <c r="D4" s="4" t="s">
        <v>3</v>
      </c>
      <c r="E4" s="147" t="s">
        <v>4</v>
      </c>
      <c r="F4" s="16" t="s">
        <v>24</v>
      </c>
      <c r="I4" t="s">
        <v>6</v>
      </c>
      <c r="J4">
        <v>64.1</v>
      </c>
      <c r="K4" s="42" t="s">
        <v>214</v>
      </c>
    </row>
    <row r="5" spans="1:10" ht="12.75">
      <c r="A5" s="6">
        <v>1</v>
      </c>
      <c r="B5" s="138">
        <v>3</v>
      </c>
      <c r="C5" s="22" t="str">
        <f aca="true" t="shared" si="0" ref="C5:C10">IF(OR($B5=0,$B5=""),"",VLOOKUP($B5,sg400mh,2,FALSE))</f>
        <v>M Shaw</v>
      </c>
      <c r="D5" s="22" t="str">
        <f aca="true" t="shared" si="1" ref="D5:D10">IF(OR($B5=0,$B5=""),"",VLOOKUP($B5,sg400mh,3,FALSE))</f>
        <v>WB</v>
      </c>
      <c r="E5" s="148">
        <v>68.4</v>
      </c>
      <c r="F5">
        <v>6</v>
      </c>
      <c r="G5" s="55">
        <f>IF(E5="","",IF(E5&gt;J4,"","CBP"))</f>
      </c>
      <c r="H5" s="55">
        <f aca="true" t="shared" si="2" ref="H5:H10">IF(E5="","",IF(E5&gt;J$5,"","ESQ"))</f>
      </c>
      <c r="I5" t="s">
        <v>26</v>
      </c>
      <c r="J5" s="12">
        <v>66</v>
      </c>
    </row>
    <row r="6" spans="1:8" ht="12.75">
      <c r="A6" s="6">
        <v>2</v>
      </c>
      <c r="B6" s="138"/>
      <c r="C6" s="22">
        <f t="shared" si="0"/>
      </c>
      <c r="D6" s="22">
        <f t="shared" si="1"/>
      </c>
      <c r="E6" s="148"/>
      <c r="F6">
        <v>5</v>
      </c>
      <c r="H6" s="55">
        <f t="shared" si="2"/>
      </c>
    </row>
    <row r="7" spans="1:8" ht="12.75">
      <c r="A7" s="6">
        <v>3</v>
      </c>
      <c r="B7" s="138"/>
      <c r="C7" s="22">
        <f t="shared" si="0"/>
      </c>
      <c r="D7" s="22">
        <f t="shared" si="1"/>
      </c>
      <c r="E7" s="148"/>
      <c r="F7">
        <v>4</v>
      </c>
      <c r="H7" s="55">
        <f t="shared" si="2"/>
      </c>
    </row>
    <row r="8" spans="1:8" ht="12.75">
      <c r="A8" s="6">
        <v>4</v>
      </c>
      <c r="B8" s="138"/>
      <c r="C8" s="22">
        <f t="shared" si="0"/>
      </c>
      <c r="D8" s="22">
        <f t="shared" si="1"/>
      </c>
      <c r="E8" s="148"/>
      <c r="F8">
        <v>3</v>
      </c>
      <c r="H8" s="55">
        <f t="shared" si="2"/>
      </c>
    </row>
    <row r="9" spans="1:8" ht="12.75">
      <c r="A9" s="6">
        <v>5</v>
      </c>
      <c r="B9" s="138"/>
      <c r="C9" s="22">
        <f t="shared" si="0"/>
      </c>
      <c r="D9" s="22">
        <f t="shared" si="1"/>
      </c>
      <c r="E9" s="148"/>
      <c r="F9">
        <v>2</v>
      </c>
      <c r="H9" s="55">
        <f t="shared" si="2"/>
      </c>
    </row>
    <row r="10" spans="1:8" ht="12.75">
      <c r="A10" s="6">
        <v>6</v>
      </c>
      <c r="B10" s="138"/>
      <c r="C10" s="22">
        <f t="shared" si="0"/>
      </c>
      <c r="D10" s="22">
        <f t="shared" si="1"/>
      </c>
      <c r="E10" s="148"/>
      <c r="F10">
        <v>1</v>
      </c>
      <c r="H10" s="55">
        <f t="shared" si="2"/>
      </c>
    </row>
    <row r="12" spans="1:10" ht="12.75">
      <c r="A12" s="14" t="s">
        <v>219</v>
      </c>
      <c r="B12" s="143"/>
      <c r="C12" s="14"/>
      <c r="D12" s="14"/>
      <c r="E12" s="143"/>
      <c r="F12" s="14"/>
      <c r="G12" s="51"/>
      <c r="H12" s="51"/>
      <c r="I12" s="14"/>
      <c r="J12" s="14"/>
    </row>
    <row r="14" spans="1:11" ht="12.75">
      <c r="A14" s="1" t="s">
        <v>0</v>
      </c>
      <c r="B14" s="134" t="s">
        <v>1</v>
      </c>
      <c r="C14" s="3" t="s">
        <v>2</v>
      </c>
      <c r="D14" s="4" t="s">
        <v>3</v>
      </c>
      <c r="E14" s="147" t="s">
        <v>4</v>
      </c>
      <c r="F14" s="16" t="s">
        <v>24</v>
      </c>
      <c r="I14" t="s">
        <v>6</v>
      </c>
      <c r="J14" s="12">
        <v>12</v>
      </c>
      <c r="K14" s="42" t="s">
        <v>323</v>
      </c>
    </row>
    <row r="15" spans="1:10" ht="12.75">
      <c r="A15" s="6">
        <v>1</v>
      </c>
      <c r="B15" s="138">
        <v>9</v>
      </c>
      <c r="C15" s="8" t="str">
        <f aca="true" t="shared" si="3" ref="C15:C20">IF(OR($B15=0,$B15=""),"",VLOOKUP($B15,sg100m,2,FALSE))</f>
        <v>Louisa Snape</v>
      </c>
      <c r="D15" s="8" t="str">
        <f aca="true" t="shared" si="4" ref="D15:D20">IF(OR($B15=0,$B15=""),"",VLOOKUP($B15,sg100m,3,FALSE))</f>
        <v>W&amp;M</v>
      </c>
      <c r="E15" s="148">
        <v>13.5</v>
      </c>
      <c r="F15">
        <v>6</v>
      </c>
      <c r="G15" s="55">
        <f>IF(E15="","",IF(E15&gt;J14,"","CBP"))</f>
      </c>
      <c r="H15" s="55">
        <f aca="true" t="shared" si="5" ref="H15:H20">IF(E15="","",IF(E15&gt;J$15,"","ESQ"))</f>
      </c>
      <c r="I15" t="s">
        <v>26</v>
      </c>
      <c r="J15" s="12">
        <v>12.5</v>
      </c>
    </row>
    <row r="16" spans="1:10" ht="12.75">
      <c r="A16" s="6">
        <v>2</v>
      </c>
      <c r="B16" s="138"/>
      <c r="C16" s="8">
        <f t="shared" si="3"/>
      </c>
      <c r="D16" s="8">
        <f t="shared" si="4"/>
      </c>
      <c r="E16" s="148"/>
      <c r="F16">
        <v>5</v>
      </c>
      <c r="H16" s="55">
        <f t="shared" si="5"/>
      </c>
      <c r="J16" s="12"/>
    </row>
    <row r="17" spans="1:10" ht="12.75">
      <c r="A17" s="6">
        <v>3</v>
      </c>
      <c r="B17" s="145"/>
      <c r="C17" s="8">
        <f t="shared" si="3"/>
      </c>
      <c r="D17" s="8">
        <f t="shared" si="4"/>
      </c>
      <c r="E17" s="148"/>
      <c r="F17">
        <v>4</v>
      </c>
      <c r="H17" s="55">
        <f t="shared" si="5"/>
      </c>
      <c r="J17" s="12"/>
    </row>
    <row r="18" spans="1:10" ht="12.75">
      <c r="A18" s="6">
        <v>4</v>
      </c>
      <c r="B18" s="141"/>
      <c r="C18" s="8">
        <f t="shared" si="3"/>
      </c>
      <c r="D18" s="8">
        <f t="shared" si="4"/>
      </c>
      <c r="E18" s="148"/>
      <c r="F18">
        <v>3</v>
      </c>
      <c r="H18" s="55">
        <f t="shared" si="5"/>
      </c>
      <c r="J18" s="12"/>
    </row>
    <row r="19" spans="1:10" ht="12.75">
      <c r="A19" s="6">
        <v>5</v>
      </c>
      <c r="B19" s="132"/>
      <c r="C19" s="8">
        <f t="shared" si="3"/>
      </c>
      <c r="D19" s="8">
        <f t="shared" si="4"/>
      </c>
      <c r="E19" s="148"/>
      <c r="F19">
        <v>2</v>
      </c>
      <c r="H19" s="55">
        <f t="shared" si="5"/>
      </c>
      <c r="J19" s="12"/>
    </row>
    <row r="20" spans="1:10" ht="12.75">
      <c r="A20" s="6">
        <v>6</v>
      </c>
      <c r="B20" s="145"/>
      <c r="C20" s="8">
        <f t="shared" si="3"/>
      </c>
      <c r="D20" s="8">
        <f t="shared" si="4"/>
      </c>
      <c r="E20" s="148"/>
      <c r="F20">
        <v>1</v>
      </c>
      <c r="H20" s="55">
        <f t="shared" si="5"/>
      </c>
      <c r="J20" s="12"/>
    </row>
    <row r="22" spans="1:10" ht="12.75">
      <c r="A22" s="14" t="s">
        <v>39</v>
      </c>
      <c r="B22" s="143"/>
      <c r="C22" s="14"/>
      <c r="D22" s="14"/>
      <c r="E22" s="143"/>
      <c r="F22" s="14"/>
      <c r="G22" s="51"/>
      <c r="H22" s="51"/>
      <c r="I22" s="14"/>
      <c r="J22" s="14"/>
    </row>
    <row r="24" spans="1:11" ht="12.75">
      <c r="A24" s="1" t="s">
        <v>0</v>
      </c>
      <c r="B24" s="134" t="s">
        <v>1</v>
      </c>
      <c r="C24" s="3" t="s">
        <v>2</v>
      </c>
      <c r="D24" s="4" t="s">
        <v>3</v>
      </c>
      <c r="E24" s="147" t="s">
        <v>4</v>
      </c>
      <c r="F24" s="16" t="s">
        <v>24</v>
      </c>
      <c r="I24" t="s">
        <v>6</v>
      </c>
      <c r="J24" s="49">
        <v>0.001537037037037037</v>
      </c>
      <c r="K24" s="42" t="s">
        <v>224</v>
      </c>
    </row>
    <row r="25" spans="1:10" ht="12.75">
      <c r="A25" s="6">
        <v>1</v>
      </c>
      <c r="B25" s="138">
        <v>7</v>
      </c>
      <c r="C25" s="8" t="str">
        <f aca="true" t="shared" si="6" ref="C25:C36">IF(OR($B25=0,$B25=""),"",VLOOKUP($B25,sg800m,2,FALSE))</f>
        <v>Charlotte Harris</v>
      </c>
      <c r="D25" s="8" t="str">
        <f aca="true" t="shared" si="7" ref="D25:D36">IF(OR($B25=0,$B25=""),"",VLOOKUP($B25,sg800m,3,FALSE))</f>
        <v>SL</v>
      </c>
      <c r="E25" s="149">
        <v>0.0016435185185185183</v>
      </c>
      <c r="F25">
        <v>6</v>
      </c>
      <c r="G25" s="55">
        <f>IF(E25="","",IF(E25&gt;J24,"","CBP"))</f>
      </c>
      <c r="H25" s="55">
        <f aca="true" t="shared" si="8" ref="H25:H30">IF(E25="","",IF(E25&gt;J$25,"","ESQ"))</f>
      </c>
      <c r="I25" t="s">
        <v>26</v>
      </c>
      <c r="J25" s="49">
        <v>0.001574074074074074</v>
      </c>
    </row>
    <row r="26" spans="1:10" ht="12.75">
      <c r="A26" s="6">
        <v>2</v>
      </c>
      <c r="B26" s="138"/>
      <c r="C26" s="8">
        <f t="shared" si="6"/>
      </c>
      <c r="D26" s="8">
        <f t="shared" si="7"/>
      </c>
      <c r="E26" s="149"/>
      <c r="F26">
        <v>5</v>
      </c>
      <c r="H26" s="55">
        <f t="shared" si="8"/>
      </c>
      <c r="J26" s="12"/>
    </row>
    <row r="27" spans="1:10" ht="12.75">
      <c r="A27" s="6">
        <v>3</v>
      </c>
      <c r="B27" s="145"/>
      <c r="C27" s="8">
        <f t="shared" si="6"/>
      </c>
      <c r="D27" s="8">
        <f t="shared" si="7"/>
      </c>
      <c r="E27" s="149"/>
      <c r="F27">
        <v>4</v>
      </c>
      <c r="H27" s="55">
        <f t="shared" si="8"/>
      </c>
      <c r="J27" s="12"/>
    </row>
    <row r="28" spans="1:10" ht="12.75">
      <c r="A28" s="6">
        <v>4</v>
      </c>
      <c r="B28" s="141"/>
      <c r="C28" s="8">
        <f t="shared" si="6"/>
      </c>
      <c r="D28" s="8">
        <f t="shared" si="7"/>
      </c>
      <c r="E28" s="149"/>
      <c r="F28">
        <v>3</v>
      </c>
      <c r="H28" s="55">
        <f t="shared" si="8"/>
      </c>
      <c r="J28" s="12"/>
    </row>
    <row r="29" spans="1:10" ht="12.75">
      <c r="A29" s="6">
        <v>5</v>
      </c>
      <c r="B29" s="132"/>
      <c r="C29" s="8">
        <f t="shared" si="6"/>
      </c>
      <c r="D29" s="8">
        <f t="shared" si="7"/>
      </c>
      <c r="E29" s="149"/>
      <c r="F29">
        <v>2</v>
      </c>
      <c r="H29" s="55">
        <f t="shared" si="8"/>
      </c>
      <c r="J29" s="12"/>
    </row>
    <row r="30" spans="1:10" ht="12.75">
      <c r="A30" s="6">
        <v>6</v>
      </c>
      <c r="B30" s="145"/>
      <c r="C30" s="8">
        <f t="shared" si="6"/>
      </c>
      <c r="D30" s="8">
        <f t="shared" si="7"/>
      </c>
      <c r="E30" s="149"/>
      <c r="F30">
        <v>1</v>
      </c>
      <c r="H30" s="55">
        <f t="shared" si="8"/>
      </c>
      <c r="J30" s="12"/>
    </row>
    <row r="31" spans="1:5" ht="12.75">
      <c r="A31" s="6">
        <v>7</v>
      </c>
      <c r="C31" s="8">
        <f t="shared" si="6"/>
      </c>
      <c r="D31" s="8">
        <f t="shared" si="7"/>
      </c>
      <c r="E31" s="150"/>
    </row>
    <row r="32" spans="1:5" ht="12.75">
      <c r="A32" s="6">
        <v>8</v>
      </c>
      <c r="C32" s="8">
        <f t="shared" si="6"/>
      </c>
      <c r="D32" s="8">
        <f t="shared" si="7"/>
      </c>
      <c r="E32" s="150"/>
    </row>
    <row r="33" spans="1:5" ht="12.75">
      <c r="A33" s="6">
        <v>9</v>
      </c>
      <c r="C33" s="8">
        <f t="shared" si="6"/>
      </c>
      <c r="D33" s="8">
        <f t="shared" si="7"/>
      </c>
      <c r="E33" s="150"/>
    </row>
    <row r="34" spans="1:5" ht="12.75">
      <c r="A34" s="6">
        <v>10</v>
      </c>
      <c r="C34" s="8">
        <f t="shared" si="6"/>
      </c>
      <c r="D34" s="8">
        <f t="shared" si="7"/>
      </c>
      <c r="E34" s="150"/>
    </row>
    <row r="35" spans="1:5" ht="12.75">
      <c r="A35" s="6">
        <v>11</v>
      </c>
      <c r="C35" s="8">
        <f t="shared" si="6"/>
      </c>
      <c r="D35" s="8">
        <f t="shared" si="7"/>
      </c>
      <c r="E35" s="150"/>
    </row>
    <row r="36" spans="1:5" ht="12.75">
      <c r="A36" s="6">
        <v>12</v>
      </c>
      <c r="C36" s="8">
        <f t="shared" si="6"/>
      </c>
      <c r="D36" s="8">
        <f t="shared" si="7"/>
      </c>
      <c r="E36" s="150"/>
    </row>
    <row r="38" spans="1:10" ht="12.75">
      <c r="A38" s="14" t="s">
        <v>227</v>
      </c>
      <c r="B38" s="143"/>
      <c r="C38" s="14"/>
      <c r="D38" s="14"/>
      <c r="E38" s="143"/>
      <c r="F38" s="14"/>
      <c r="G38" s="51"/>
      <c r="H38" s="51"/>
      <c r="I38" s="14"/>
      <c r="J38" s="14"/>
    </row>
    <row r="40" spans="1:11" ht="12.75">
      <c r="A40" s="1" t="s">
        <v>0</v>
      </c>
      <c r="B40" s="134" t="s">
        <v>1</v>
      </c>
      <c r="C40" s="3" t="s">
        <v>2</v>
      </c>
      <c r="D40" s="4" t="s">
        <v>3</v>
      </c>
      <c r="E40" s="147" t="s">
        <v>4</v>
      </c>
      <c r="F40" s="16" t="s">
        <v>24</v>
      </c>
      <c r="I40" t="s">
        <v>6</v>
      </c>
      <c r="J40" s="12">
        <v>14.2</v>
      </c>
      <c r="K40" s="42" t="s">
        <v>228</v>
      </c>
    </row>
    <row r="41" spans="1:10" ht="12.75">
      <c r="A41" s="6">
        <v>1</v>
      </c>
      <c r="B41" s="138">
        <v>9</v>
      </c>
      <c r="C41" s="8" t="str">
        <f aca="true" t="shared" si="9" ref="C41:C46">IF(OR($B41=0,$B41=""),"",VLOOKUP($B41,sg100mh,2,FALSE))</f>
        <v>Rachel Melbourne</v>
      </c>
      <c r="D41" s="8" t="str">
        <f aca="true" t="shared" si="10" ref="D41:D46">IF(OR($B41=0,$B41=""),"",VLOOKUP($B41,sg100mh,3,FALSE))</f>
        <v>W&amp;M</v>
      </c>
      <c r="E41" s="148">
        <v>18</v>
      </c>
      <c r="F41">
        <v>6</v>
      </c>
      <c r="G41" s="55">
        <f>IF(E41="","",IF(E41&gt;J40,"","CBP"))</f>
      </c>
      <c r="H41" s="55">
        <f aca="true" t="shared" si="11" ref="H41:H46">IF(E41="","",IF(E41&gt;J$41,"","ESQ"))</f>
      </c>
      <c r="I41" t="s">
        <v>26</v>
      </c>
      <c r="J41" s="12">
        <v>15.2</v>
      </c>
    </row>
    <row r="42" spans="1:10" ht="12.75">
      <c r="A42" s="6">
        <v>2</v>
      </c>
      <c r="B42" s="138"/>
      <c r="C42" s="8">
        <f t="shared" si="9"/>
      </c>
      <c r="D42" s="8">
        <f t="shared" si="10"/>
      </c>
      <c r="E42" s="148"/>
      <c r="F42">
        <v>5</v>
      </c>
      <c r="H42" s="55">
        <f t="shared" si="11"/>
      </c>
      <c r="J42" s="12"/>
    </row>
    <row r="43" spans="1:10" ht="12.75">
      <c r="A43" s="6">
        <v>3</v>
      </c>
      <c r="B43" s="145"/>
      <c r="C43" s="8">
        <f t="shared" si="9"/>
      </c>
      <c r="D43" s="8">
        <f t="shared" si="10"/>
      </c>
      <c r="E43" s="148"/>
      <c r="F43">
        <v>4</v>
      </c>
      <c r="H43" s="55">
        <f t="shared" si="11"/>
      </c>
      <c r="J43" s="12"/>
    </row>
    <row r="44" spans="1:10" ht="12.75">
      <c r="A44" s="6">
        <v>4</v>
      </c>
      <c r="B44" s="141"/>
      <c r="C44" s="8">
        <f t="shared" si="9"/>
      </c>
      <c r="D44" s="8">
        <f t="shared" si="10"/>
      </c>
      <c r="E44" s="148"/>
      <c r="F44">
        <v>3</v>
      </c>
      <c r="H44" s="55">
        <f t="shared" si="11"/>
      </c>
      <c r="J44" s="12"/>
    </row>
    <row r="45" spans="1:10" ht="12.75">
      <c r="A45" s="6">
        <v>5</v>
      </c>
      <c r="B45" s="132"/>
      <c r="C45" s="8">
        <f t="shared" si="9"/>
      </c>
      <c r="D45" s="8">
        <f t="shared" si="10"/>
      </c>
      <c r="E45" s="148"/>
      <c r="F45">
        <v>2</v>
      </c>
      <c r="H45" s="55">
        <f t="shared" si="11"/>
      </c>
      <c r="J45" s="12"/>
    </row>
    <row r="46" spans="1:10" ht="12.75">
      <c r="A46" s="6">
        <v>6</v>
      </c>
      <c r="B46" s="145"/>
      <c r="C46" s="8">
        <f t="shared" si="9"/>
      </c>
      <c r="D46" s="8">
        <f t="shared" si="10"/>
      </c>
      <c r="E46" s="148"/>
      <c r="F46">
        <v>1</v>
      </c>
      <c r="H46" s="55">
        <f t="shared" si="11"/>
      </c>
      <c r="J46" s="12"/>
    </row>
    <row r="48" spans="1:10" ht="12.75">
      <c r="A48" s="14" t="s">
        <v>236</v>
      </c>
      <c r="B48" s="143"/>
      <c r="C48" s="14"/>
      <c r="D48" s="14"/>
      <c r="E48" s="143"/>
      <c r="F48" s="14"/>
      <c r="G48" s="51"/>
      <c r="H48" s="51"/>
      <c r="I48" s="14"/>
      <c r="J48" s="14"/>
    </row>
    <row r="50" spans="1:11" ht="12.75">
      <c r="A50" s="1" t="s">
        <v>0</v>
      </c>
      <c r="B50" s="134" t="s">
        <v>1</v>
      </c>
      <c r="C50" s="3" t="s">
        <v>2</v>
      </c>
      <c r="D50" s="4" t="s">
        <v>3</v>
      </c>
      <c r="E50" s="147" t="s">
        <v>4</v>
      </c>
      <c r="F50" s="16" t="s">
        <v>24</v>
      </c>
      <c r="I50" t="s">
        <v>6</v>
      </c>
      <c r="J50" s="12">
        <v>55.8</v>
      </c>
      <c r="K50" s="42" t="s">
        <v>237</v>
      </c>
    </row>
    <row r="51" spans="1:10" ht="12.75">
      <c r="A51" s="6">
        <v>1</v>
      </c>
      <c r="B51" s="138">
        <v>11</v>
      </c>
      <c r="C51" s="8" t="str">
        <f aca="true" t="shared" si="12" ref="C51:C56">IF(OR($B51=0,$B51=""),"",VLOOKUP($B51,sg400m,2,FALSE))</f>
        <v>Phoebe Fenwick</v>
      </c>
      <c r="D51" s="8" t="str">
        <f aca="true" t="shared" si="13" ref="D51:D56">IF(OR($B51=0,$B51=""),"",VLOOKUP($B51,sg400m,3,FALSE))</f>
        <v>WOK</v>
      </c>
      <c r="E51" s="148">
        <v>57.8</v>
      </c>
      <c r="F51">
        <v>6</v>
      </c>
      <c r="G51" s="55">
        <f>IF(E51="","",IF(E51&gt;J50,"","CBP"))</f>
      </c>
      <c r="H51" s="55" t="str">
        <f aca="true" t="shared" si="14" ref="H51:H56">IF(E51="","",IF(E51&gt;J$51,"","ESQ"))</f>
        <v>ESQ</v>
      </c>
      <c r="I51" t="s">
        <v>26</v>
      </c>
      <c r="J51" s="12">
        <v>58.8</v>
      </c>
    </row>
    <row r="52" spans="1:10" ht="12.75">
      <c r="A52" s="6">
        <v>2</v>
      </c>
      <c r="B52" s="138"/>
      <c r="C52" s="8">
        <f t="shared" si="12"/>
      </c>
      <c r="D52" s="8">
        <f t="shared" si="13"/>
      </c>
      <c r="E52" s="148"/>
      <c r="F52">
        <v>5</v>
      </c>
      <c r="H52" s="55">
        <f t="shared" si="14"/>
      </c>
      <c r="J52" s="12"/>
    </row>
    <row r="53" spans="1:10" ht="12.75">
      <c r="A53" s="6">
        <v>3</v>
      </c>
      <c r="B53" s="145"/>
      <c r="C53" s="8">
        <f t="shared" si="12"/>
      </c>
      <c r="D53" s="8">
        <f t="shared" si="13"/>
      </c>
      <c r="E53" s="148"/>
      <c r="F53">
        <v>4</v>
      </c>
      <c r="H53" s="55">
        <f t="shared" si="14"/>
      </c>
      <c r="J53" s="12"/>
    </row>
    <row r="54" spans="1:10" ht="12.75">
      <c r="A54" s="6">
        <v>4</v>
      </c>
      <c r="B54" s="141"/>
      <c r="C54" s="8">
        <f t="shared" si="12"/>
      </c>
      <c r="D54" s="8">
        <f t="shared" si="13"/>
      </c>
      <c r="E54" s="148"/>
      <c r="F54">
        <v>3</v>
      </c>
      <c r="H54" s="55">
        <f t="shared" si="14"/>
      </c>
      <c r="J54" s="12"/>
    </row>
    <row r="55" spans="1:10" ht="12.75">
      <c r="A55" s="6">
        <v>5</v>
      </c>
      <c r="B55" s="132"/>
      <c r="C55" s="8">
        <f t="shared" si="12"/>
      </c>
      <c r="D55" s="8">
        <f t="shared" si="13"/>
      </c>
      <c r="E55" s="148"/>
      <c r="F55">
        <v>2</v>
      </c>
      <c r="H55" s="55">
        <f t="shared" si="14"/>
      </c>
      <c r="J55" s="12"/>
    </row>
    <row r="56" spans="1:10" ht="12.75">
      <c r="A56" s="6">
        <v>6</v>
      </c>
      <c r="B56" s="145"/>
      <c r="C56" s="8">
        <f t="shared" si="12"/>
      </c>
      <c r="D56" s="8">
        <f t="shared" si="13"/>
      </c>
      <c r="E56" s="148"/>
      <c r="F56">
        <v>1</v>
      </c>
      <c r="H56" s="55">
        <f t="shared" si="14"/>
      </c>
      <c r="J56" s="12"/>
    </row>
    <row r="58" spans="1:10" ht="12.75">
      <c r="A58" s="14" t="s">
        <v>249</v>
      </c>
      <c r="B58" s="143"/>
      <c r="C58" s="14"/>
      <c r="D58" s="14"/>
      <c r="E58" s="143"/>
      <c r="F58" s="14"/>
      <c r="G58" s="51"/>
      <c r="H58" s="51"/>
      <c r="I58" s="14"/>
      <c r="J58" s="14"/>
    </row>
    <row r="60" spans="1:11" ht="12.75">
      <c r="A60" s="1" t="s">
        <v>0</v>
      </c>
      <c r="B60" s="134" t="s">
        <v>1</v>
      </c>
      <c r="C60" s="3" t="s">
        <v>2</v>
      </c>
      <c r="D60" s="4" t="s">
        <v>3</v>
      </c>
      <c r="E60" s="147" t="s">
        <v>4</v>
      </c>
      <c r="F60" s="16" t="s">
        <v>24</v>
      </c>
      <c r="I60" t="s">
        <v>6</v>
      </c>
      <c r="J60" s="12">
        <v>24.3</v>
      </c>
      <c r="K60" s="42" t="s">
        <v>344</v>
      </c>
    </row>
    <row r="61" spans="1:10" ht="12.75">
      <c r="A61" s="6">
        <v>1</v>
      </c>
      <c r="B61" s="138"/>
      <c r="C61" s="8">
        <f aca="true" t="shared" si="15" ref="C61:C66">IF(OR($B61=0,$B61=""),"",VLOOKUP($B61,sg200m,2,FALSE))</f>
      </c>
      <c r="D61" s="8">
        <f aca="true" t="shared" si="16" ref="D61:D66">IF(OR($B61=0,$B61=""),"",VLOOKUP($B61,sg200m,3,FALSE))</f>
      </c>
      <c r="E61" s="148"/>
      <c r="F61">
        <v>6</v>
      </c>
      <c r="G61" s="55">
        <f>IF(E61="","",IF(E61&gt;J60,"","CBP"))</f>
      </c>
      <c r="H61" s="55">
        <f aca="true" t="shared" si="17" ref="H61:H66">IF(E61="","",IF(E61&gt;J$61,"","ESQ"))</f>
      </c>
      <c r="I61" t="s">
        <v>26</v>
      </c>
      <c r="J61" s="12">
        <v>25.8</v>
      </c>
    </row>
    <row r="62" spans="1:10" ht="12.75">
      <c r="A62" s="6">
        <v>2</v>
      </c>
      <c r="B62" s="138"/>
      <c r="C62" s="8">
        <f t="shared" si="15"/>
      </c>
      <c r="D62" s="8">
        <f t="shared" si="16"/>
      </c>
      <c r="E62" s="148"/>
      <c r="F62">
        <v>5</v>
      </c>
      <c r="H62" s="55">
        <f t="shared" si="17"/>
      </c>
      <c r="J62" s="12"/>
    </row>
    <row r="63" spans="1:10" ht="12.75">
      <c r="A63" s="6">
        <v>3</v>
      </c>
      <c r="B63" s="145"/>
      <c r="C63" s="8">
        <f t="shared" si="15"/>
      </c>
      <c r="D63" s="8">
        <f t="shared" si="16"/>
      </c>
      <c r="E63" s="148"/>
      <c r="F63">
        <v>4</v>
      </c>
      <c r="H63" s="55">
        <f t="shared" si="17"/>
      </c>
      <c r="J63" s="12"/>
    </row>
    <row r="64" spans="1:10" ht="12.75">
      <c r="A64" s="6">
        <v>4</v>
      </c>
      <c r="B64" s="141"/>
      <c r="C64" s="8">
        <f t="shared" si="15"/>
      </c>
      <c r="D64" s="8">
        <f t="shared" si="16"/>
      </c>
      <c r="E64" s="148"/>
      <c r="F64">
        <v>3</v>
      </c>
      <c r="H64" s="55">
        <f t="shared" si="17"/>
      </c>
      <c r="J64" s="12"/>
    </row>
    <row r="65" spans="1:10" ht="12.75">
      <c r="A65" s="6">
        <v>5</v>
      </c>
      <c r="B65" s="132"/>
      <c r="C65" s="8">
        <f t="shared" si="15"/>
      </c>
      <c r="D65" s="8">
        <f t="shared" si="16"/>
      </c>
      <c r="E65" s="148"/>
      <c r="F65">
        <v>2</v>
      </c>
      <c r="H65" s="55">
        <f t="shared" si="17"/>
      </c>
      <c r="J65" s="12"/>
    </row>
    <row r="66" spans="1:10" ht="12.75">
      <c r="A66" s="6">
        <v>6</v>
      </c>
      <c r="B66" s="145"/>
      <c r="C66" s="8">
        <f t="shared" si="15"/>
      </c>
      <c r="D66" s="8">
        <f t="shared" si="16"/>
      </c>
      <c r="E66" s="148"/>
      <c r="F66">
        <v>1</v>
      </c>
      <c r="H66" s="55">
        <f t="shared" si="17"/>
      </c>
      <c r="J66" s="12"/>
    </row>
    <row r="68" spans="1:10" ht="12.75">
      <c r="A68" s="14" t="s">
        <v>253</v>
      </c>
      <c r="B68" s="143"/>
      <c r="C68" s="14"/>
      <c r="D68" s="14"/>
      <c r="E68" s="143"/>
      <c r="F68" s="14"/>
      <c r="G68" s="51"/>
      <c r="H68" s="51"/>
      <c r="I68" s="14"/>
      <c r="J68" s="14"/>
    </row>
    <row r="70" spans="1:11" ht="12.75">
      <c r="A70" s="1" t="s">
        <v>0</v>
      </c>
      <c r="B70" s="134" t="s">
        <v>1</v>
      </c>
      <c r="C70" s="3" t="s">
        <v>2</v>
      </c>
      <c r="D70" s="4" t="s">
        <v>3</v>
      </c>
      <c r="E70" s="147" t="s">
        <v>4</v>
      </c>
      <c r="F70" s="16" t="s">
        <v>24</v>
      </c>
      <c r="I70" t="s">
        <v>6</v>
      </c>
      <c r="J70" s="49">
        <v>0.003189814814814815</v>
      </c>
      <c r="K70" s="42" t="s">
        <v>255</v>
      </c>
    </row>
    <row r="71" spans="1:10" ht="12.75">
      <c r="A71" s="6">
        <v>1</v>
      </c>
      <c r="B71" s="138"/>
      <c r="C71" s="8">
        <f aca="true" t="shared" si="18" ref="C71:C82">IF(OR($B71=0,$B71=""),"",VLOOKUP($B71,sg1500m,2,FALSE))</f>
      </c>
      <c r="D71" s="8">
        <f aca="true" t="shared" si="19" ref="D71:D82">IF(OR($B71=0,$B71=""),"",VLOOKUP($B71,sg1500m,3,FALSE))</f>
      </c>
      <c r="E71" s="149"/>
      <c r="F71">
        <v>6</v>
      </c>
      <c r="G71" s="55">
        <f>IF(E71="","",IF(E71&gt;J70,"","CBP"))</f>
      </c>
      <c r="H71" s="55">
        <f aca="true" t="shared" si="20" ref="H71:H76">IF(E71="","",IF(E71&gt;J$71,"","ESQ"))</f>
      </c>
      <c r="I71" t="s">
        <v>26</v>
      </c>
      <c r="J71" s="49">
        <v>0.003275462962962963</v>
      </c>
    </row>
    <row r="72" spans="1:10" ht="12.75">
      <c r="A72" s="6">
        <v>2</v>
      </c>
      <c r="B72" s="138"/>
      <c r="C72" s="8">
        <f t="shared" si="18"/>
      </c>
      <c r="D72" s="8">
        <f t="shared" si="19"/>
      </c>
      <c r="E72" s="149"/>
      <c r="F72">
        <v>5</v>
      </c>
      <c r="H72" s="55">
        <f t="shared" si="20"/>
      </c>
      <c r="J72" s="12"/>
    </row>
    <row r="73" spans="1:10" ht="12.75">
      <c r="A73" s="6">
        <v>3</v>
      </c>
      <c r="B73" s="145"/>
      <c r="C73" s="8">
        <f t="shared" si="18"/>
      </c>
      <c r="D73" s="8">
        <f t="shared" si="19"/>
      </c>
      <c r="E73" s="149"/>
      <c r="F73">
        <v>4</v>
      </c>
      <c r="H73" s="55">
        <f t="shared" si="20"/>
      </c>
      <c r="J73" s="12"/>
    </row>
    <row r="74" spans="1:10" ht="12.75">
      <c r="A74" s="6">
        <v>4</v>
      </c>
      <c r="B74" s="141"/>
      <c r="C74" s="8">
        <f t="shared" si="18"/>
      </c>
      <c r="D74" s="8">
        <f t="shared" si="19"/>
      </c>
      <c r="E74" s="149"/>
      <c r="F74">
        <v>3</v>
      </c>
      <c r="H74" s="55">
        <f t="shared" si="20"/>
      </c>
      <c r="J74" s="12"/>
    </row>
    <row r="75" spans="1:10" ht="12.75">
      <c r="A75" s="6">
        <v>5</v>
      </c>
      <c r="B75" s="132"/>
      <c r="C75" s="8">
        <f t="shared" si="18"/>
      </c>
      <c r="D75" s="8">
        <f t="shared" si="19"/>
      </c>
      <c r="E75" s="149"/>
      <c r="F75">
        <v>2</v>
      </c>
      <c r="H75" s="55">
        <f t="shared" si="20"/>
      </c>
      <c r="J75" s="12"/>
    </row>
    <row r="76" spans="1:10" ht="12.75">
      <c r="A76" s="6">
        <v>6</v>
      </c>
      <c r="B76" s="145"/>
      <c r="C76" s="8">
        <f t="shared" si="18"/>
      </c>
      <c r="D76" s="8">
        <f t="shared" si="19"/>
      </c>
      <c r="E76" s="149"/>
      <c r="F76">
        <v>1</v>
      </c>
      <c r="H76" s="55">
        <f t="shared" si="20"/>
      </c>
      <c r="J76" s="12"/>
    </row>
    <row r="77" spans="1:5" ht="12.75">
      <c r="A77" s="6">
        <v>7</v>
      </c>
      <c r="C77" s="8">
        <f t="shared" si="18"/>
      </c>
      <c r="D77" s="8">
        <f t="shared" si="19"/>
      </c>
      <c r="E77" s="150"/>
    </row>
    <row r="78" spans="1:5" ht="12.75">
      <c r="A78" s="6">
        <v>8</v>
      </c>
      <c r="C78" s="8">
        <f t="shared" si="18"/>
      </c>
      <c r="D78" s="8">
        <f t="shared" si="19"/>
      </c>
      <c r="E78" s="150"/>
    </row>
    <row r="79" spans="1:5" ht="12.75">
      <c r="A79" s="6">
        <v>9</v>
      </c>
      <c r="C79" s="8">
        <f t="shared" si="18"/>
      </c>
      <c r="D79" s="8">
        <f t="shared" si="19"/>
      </c>
      <c r="E79" s="150"/>
    </row>
    <row r="80" spans="1:5" ht="12.75">
      <c r="A80" s="6">
        <v>10</v>
      </c>
      <c r="C80" s="8">
        <f t="shared" si="18"/>
      </c>
      <c r="D80" s="8">
        <f t="shared" si="19"/>
      </c>
      <c r="E80" s="150"/>
    </row>
    <row r="81" spans="1:5" ht="12.75">
      <c r="A81" s="6">
        <v>11</v>
      </c>
      <c r="C81" s="8">
        <f t="shared" si="18"/>
      </c>
      <c r="D81" s="8">
        <f t="shared" si="19"/>
      </c>
      <c r="E81" s="150"/>
    </row>
    <row r="82" spans="1:5" ht="12.75">
      <c r="A82" s="6">
        <v>12</v>
      </c>
      <c r="C82" s="8">
        <f t="shared" si="18"/>
      </c>
      <c r="D82" s="8">
        <f t="shared" si="19"/>
      </c>
      <c r="E82" s="150"/>
    </row>
    <row r="84" ht="12.75">
      <c r="A84" s="14" t="s">
        <v>354</v>
      </c>
    </row>
    <row r="85" spans="1:10" ht="12.75">
      <c r="A85" s="1" t="s">
        <v>0</v>
      </c>
      <c r="B85" s="134" t="s">
        <v>1</v>
      </c>
      <c r="C85" s="3" t="s">
        <v>2</v>
      </c>
      <c r="D85" s="4" t="s">
        <v>3</v>
      </c>
      <c r="E85" s="147" t="s">
        <v>4</v>
      </c>
      <c r="F85" s="16" t="s">
        <v>24</v>
      </c>
      <c r="I85" t="s">
        <v>6</v>
      </c>
      <c r="J85" s="49"/>
    </row>
    <row r="86" spans="1:10" ht="12.75">
      <c r="A86" s="6">
        <v>1</v>
      </c>
      <c r="B86" s="138">
        <v>11</v>
      </c>
      <c r="C86" s="8" t="str">
        <f>IF(OR($B86=0,$B86=""),"",VLOOKUP($B86,sg1500sc,2,FALSE))</f>
        <v>Alex Barbour</v>
      </c>
      <c r="D86" s="8" t="str">
        <f>IF(OR($B86=0,$B86=""),"",VLOOKUP($B86,sg1500sc,3,FALSE))</f>
        <v>WOK</v>
      </c>
      <c r="E86" s="149">
        <v>0.0034652777777777776</v>
      </c>
      <c r="F86">
        <v>6</v>
      </c>
      <c r="G86" s="55">
        <f>IF(E86="","",IF(E86&gt;J85,"","CBP"))</f>
      </c>
      <c r="H86" s="55">
        <f>IF(E86="","",IF(E86&gt;J$71,"","ESQ"))</f>
      </c>
      <c r="I86" t="s">
        <v>26</v>
      </c>
      <c r="J86" s="49">
        <v>0.0038773148148148143</v>
      </c>
    </row>
    <row r="87" spans="1:10" ht="12.75">
      <c r="A87" s="6">
        <v>2</v>
      </c>
      <c r="B87" s="138">
        <v>1</v>
      </c>
      <c r="C87" s="8" t="str">
        <f>IF(OR($B87=0,$B87=""),"",VLOOKUP($B87,sg1500sc,2,FALSE))</f>
        <v>Elena Carey</v>
      </c>
      <c r="D87" s="8" t="str">
        <f>IF(OR($B87=0,$B87=""),"",VLOOKUP($B87,sg1500sc,3,FALSE))</f>
        <v>BRK</v>
      </c>
      <c r="E87" s="149">
        <v>0.003577546296296296</v>
      </c>
      <c r="F87">
        <v>5</v>
      </c>
      <c r="H87" s="55">
        <f>IF(E87="","",IF(E87&gt;J$71,"","ESQ"))</f>
      </c>
      <c r="J87" s="12"/>
    </row>
    <row r="88" spans="1:10" ht="12.75">
      <c r="A88" s="6">
        <v>3</v>
      </c>
      <c r="B88" s="138">
        <v>13</v>
      </c>
      <c r="C88" s="8" t="str">
        <f>IF(OR($B88=0,$B88=""),"",VLOOKUP($B88,sg1500sc,2,FALSE))</f>
        <v>Meg Ormond</v>
      </c>
      <c r="D88" s="8" t="str">
        <f>IF(OR($B88=0,$B88=""),"",VLOOKUP($B88,sg1500sc,3,FALSE))</f>
        <v>Surrey</v>
      </c>
      <c r="E88" s="149">
        <v>0.003638888888888889</v>
      </c>
      <c r="F88">
        <v>4</v>
      </c>
      <c r="J88" s="12"/>
    </row>
    <row r="89" spans="1:10" ht="12.75">
      <c r="A89" s="6">
        <v>4</v>
      </c>
      <c r="B89" s="138">
        <v>9</v>
      </c>
      <c r="C89" s="8" t="str">
        <f>IF(OR($B89=0,$B89=""),"",VLOOKUP($B89,sg1500sc,2,FALSE))</f>
        <v>Rebecca Pope</v>
      </c>
      <c r="D89" s="8" t="str">
        <f>IF(OR($B89=0,$B89=""),"",VLOOKUP($B89,sg1500sc,3,FALSE))</f>
        <v>W&amp;M</v>
      </c>
      <c r="E89" s="149">
        <v>0.004091435185185185</v>
      </c>
      <c r="F89">
        <v>3</v>
      </c>
      <c r="J89" s="12"/>
    </row>
    <row r="91" spans="1:10" ht="12.75">
      <c r="A91" s="14" t="s">
        <v>267</v>
      </c>
      <c r="B91" s="143"/>
      <c r="C91" s="14"/>
      <c r="D91" s="14"/>
      <c r="E91" s="143"/>
      <c r="F91" s="14"/>
      <c r="G91" s="51"/>
      <c r="H91" s="51"/>
      <c r="I91" s="14"/>
      <c r="J91" s="14"/>
    </row>
    <row r="93" spans="1:11" ht="12.75">
      <c r="A93" s="1" t="s">
        <v>0</v>
      </c>
      <c r="B93" s="134" t="s">
        <v>1</v>
      </c>
      <c r="C93" s="3" t="s">
        <v>2</v>
      </c>
      <c r="D93" s="4" t="s">
        <v>3</v>
      </c>
      <c r="E93" s="147" t="s">
        <v>4</v>
      </c>
      <c r="F93" s="16" t="s">
        <v>24</v>
      </c>
      <c r="I93" t="s">
        <v>6</v>
      </c>
      <c r="J93" s="49"/>
      <c r="K93" s="42"/>
    </row>
    <row r="94" spans="1:10" ht="12.75">
      <c r="A94" s="6">
        <v>1</v>
      </c>
      <c r="B94" s="138">
        <v>5</v>
      </c>
      <c r="C94" s="8" t="str">
        <f aca="true" t="shared" si="21" ref="C94:C105">IF(OR($B94=0,$B94=""),"",VLOOKUP($B94,sg3000m,2,FALSE))</f>
        <v>Kirsty Walker</v>
      </c>
      <c r="D94" s="8" t="str">
        <f aca="true" t="shared" si="22" ref="D94:D105">IF(OR($B94=0,$B94=""),"",VLOOKUP($B94,sg3000m,3,FALSE))</f>
        <v>RDG</v>
      </c>
      <c r="E94" s="149">
        <v>0.007172453703703704</v>
      </c>
      <c r="F94">
        <v>6</v>
      </c>
      <c r="G94" s="55">
        <f>IF(E94="","",IF(E94&gt;J93,"","CBP"))</f>
      </c>
      <c r="H94" s="55">
        <f aca="true" t="shared" si="23" ref="H94:H99">IF(E94="","",IF(E94&gt;J$94,"","ESQ"))</f>
      </c>
      <c r="I94" t="s">
        <v>26</v>
      </c>
      <c r="J94" s="49">
        <v>0.007152777777777779</v>
      </c>
    </row>
    <row r="95" spans="1:10" ht="12.75">
      <c r="A95" s="6">
        <v>2</v>
      </c>
      <c r="B95" s="138">
        <v>3</v>
      </c>
      <c r="C95" s="8" t="str">
        <f t="shared" si="21"/>
        <v>E Faulkner</v>
      </c>
      <c r="D95" s="8" t="str">
        <f t="shared" si="22"/>
        <v>WB</v>
      </c>
      <c r="E95" s="149">
        <v>0.008019675925925927</v>
      </c>
      <c r="F95">
        <v>5</v>
      </c>
      <c r="H95" s="55">
        <f t="shared" si="23"/>
      </c>
      <c r="J95" s="12"/>
    </row>
    <row r="96" spans="1:10" ht="12.75">
      <c r="A96" s="6">
        <v>3</v>
      </c>
      <c r="B96" s="145"/>
      <c r="C96" s="8">
        <f t="shared" si="21"/>
      </c>
      <c r="D96" s="8">
        <f t="shared" si="22"/>
      </c>
      <c r="E96" s="149"/>
      <c r="F96">
        <v>4</v>
      </c>
      <c r="H96" s="55">
        <f t="shared" si="23"/>
      </c>
      <c r="J96" s="12"/>
    </row>
    <row r="97" spans="1:10" ht="12.75">
      <c r="A97" s="6">
        <v>4</v>
      </c>
      <c r="B97" s="141"/>
      <c r="C97" s="8">
        <f t="shared" si="21"/>
      </c>
      <c r="D97" s="8">
        <f t="shared" si="22"/>
      </c>
      <c r="E97" s="149"/>
      <c r="F97">
        <v>3</v>
      </c>
      <c r="H97" s="55">
        <f t="shared" si="23"/>
      </c>
      <c r="J97" s="12"/>
    </row>
    <row r="98" spans="1:10" ht="12.75">
      <c r="A98" s="6">
        <v>5</v>
      </c>
      <c r="B98" s="132"/>
      <c r="C98" s="8">
        <f t="shared" si="21"/>
      </c>
      <c r="D98" s="8">
        <f t="shared" si="22"/>
      </c>
      <c r="E98" s="149"/>
      <c r="F98">
        <v>2</v>
      </c>
      <c r="H98" s="55">
        <f t="shared" si="23"/>
      </c>
      <c r="J98" s="12"/>
    </row>
    <row r="99" spans="1:10" ht="12.75">
      <c r="A99" s="6">
        <v>6</v>
      </c>
      <c r="B99" s="145"/>
      <c r="C99" s="8">
        <f t="shared" si="21"/>
      </c>
      <c r="D99" s="8">
        <f t="shared" si="22"/>
      </c>
      <c r="E99" s="149"/>
      <c r="F99">
        <v>1</v>
      </c>
      <c r="H99" s="55">
        <f t="shared" si="23"/>
      </c>
      <c r="J99" s="12"/>
    </row>
    <row r="100" spans="1:5" ht="12.75">
      <c r="A100" s="6">
        <v>7</v>
      </c>
      <c r="C100" s="8">
        <f t="shared" si="21"/>
      </c>
      <c r="D100" s="8">
        <f t="shared" si="22"/>
      </c>
      <c r="E100" s="150"/>
    </row>
    <row r="101" spans="1:5" ht="12.75">
      <c r="A101" s="6">
        <v>8</v>
      </c>
      <c r="C101" s="8">
        <f t="shared" si="21"/>
      </c>
      <c r="D101" s="8">
        <f t="shared" si="22"/>
      </c>
      <c r="E101" s="150"/>
    </row>
    <row r="102" spans="1:5" ht="12.75">
      <c r="A102" s="6">
        <v>9</v>
      </c>
      <c r="C102" s="8">
        <f t="shared" si="21"/>
      </c>
      <c r="D102" s="8">
        <f t="shared" si="22"/>
      </c>
      <c r="E102" s="150"/>
    </row>
    <row r="103" spans="1:5" ht="12.75">
      <c r="A103" s="6">
        <v>10</v>
      </c>
      <c r="C103" s="8">
        <f t="shared" si="21"/>
      </c>
      <c r="D103" s="8">
        <f t="shared" si="22"/>
      </c>
      <c r="E103" s="150"/>
    </row>
    <row r="104" spans="1:5" ht="12.75">
      <c r="A104" s="6">
        <v>11</v>
      </c>
      <c r="C104" s="8">
        <f t="shared" si="21"/>
      </c>
      <c r="D104" s="8">
        <f t="shared" si="22"/>
      </c>
      <c r="E104" s="150"/>
    </row>
    <row r="105" spans="1:5" ht="12.75">
      <c r="A105" s="6">
        <v>12</v>
      </c>
      <c r="C105" s="8">
        <f t="shared" si="21"/>
      </c>
      <c r="D105" s="8">
        <f t="shared" si="22"/>
      </c>
      <c r="E105" s="150"/>
    </row>
    <row r="107" ht="12.75">
      <c r="A107" s="14" t="s">
        <v>45</v>
      </c>
    </row>
    <row r="109" spans="1:10" ht="12.75">
      <c r="A109" s="14" t="s">
        <v>46</v>
      </c>
      <c r="B109" s="143"/>
      <c r="C109" s="14"/>
      <c r="D109" s="14"/>
      <c r="E109" s="143"/>
      <c r="F109" s="14"/>
      <c r="G109" s="51"/>
      <c r="H109" s="51"/>
      <c r="I109" s="14"/>
      <c r="J109" s="14"/>
    </row>
    <row r="111" spans="1:11" ht="12.75">
      <c r="A111" s="1" t="s">
        <v>0</v>
      </c>
      <c r="B111" s="134" t="s">
        <v>1</v>
      </c>
      <c r="C111" s="3" t="s">
        <v>2</v>
      </c>
      <c r="D111" s="4" t="s">
        <v>3</v>
      </c>
      <c r="E111" s="147" t="s">
        <v>4</v>
      </c>
      <c r="F111" s="16" t="s">
        <v>24</v>
      </c>
      <c r="I111" t="s">
        <v>6</v>
      </c>
      <c r="J111" s="17">
        <v>49.39</v>
      </c>
      <c r="K111" s="42" t="s">
        <v>328</v>
      </c>
    </row>
    <row r="112" spans="1:10" ht="12.75">
      <c r="A112" s="6">
        <v>1</v>
      </c>
      <c r="B112" s="138">
        <v>1</v>
      </c>
      <c r="C112" s="8" t="s">
        <v>755</v>
      </c>
      <c r="D112" s="8" t="s">
        <v>20</v>
      </c>
      <c r="E112" s="151">
        <v>45.82</v>
      </c>
      <c r="F112">
        <v>6</v>
      </c>
      <c r="G112" s="55">
        <f>IF(E112="","",IF(E112&lt;J111,"","CBP"))</f>
      </c>
      <c r="H112" s="55" t="str">
        <f aca="true" t="shared" si="24" ref="H112:H117">IF(E112="","",IF(E112&lt;J$112,"","ESQ"))</f>
        <v>ESQ</v>
      </c>
      <c r="I112" t="s">
        <v>26</v>
      </c>
      <c r="J112" s="17">
        <v>38</v>
      </c>
    </row>
    <row r="113" spans="1:10" ht="12.75">
      <c r="A113" s="6">
        <v>2</v>
      </c>
      <c r="B113" s="138"/>
      <c r="C113" s="8">
        <f>IF(OR($B113=0,$B113=""),"",VLOOKUP($B113,sght,2,FALSE))</f>
      </c>
      <c r="D113" s="8">
        <f>IF(OR($B113=0,$B113=""),"",VLOOKUP($B113,sght,3,FALSE))</f>
      </c>
      <c r="E113" s="151"/>
      <c r="F113">
        <v>5</v>
      </c>
      <c r="H113" s="55">
        <f t="shared" si="24"/>
      </c>
      <c r="J113" s="12"/>
    </row>
    <row r="114" spans="1:10" ht="12.75">
      <c r="A114" s="6">
        <v>3</v>
      </c>
      <c r="B114" s="145"/>
      <c r="C114" s="8">
        <f>IF(OR($B114=0,$B114=""),"",VLOOKUP($B114,sght,2,FALSE))</f>
      </c>
      <c r="D114" s="8">
        <f>IF(OR($B114=0,$B114=""),"",VLOOKUP($B114,sght,3,FALSE))</f>
      </c>
      <c r="E114" s="151"/>
      <c r="F114">
        <v>4</v>
      </c>
      <c r="H114" s="55">
        <f t="shared" si="24"/>
      </c>
      <c r="J114" s="12"/>
    </row>
    <row r="115" spans="1:10" ht="12.75">
      <c r="A115" s="6">
        <v>4</v>
      </c>
      <c r="B115" s="141"/>
      <c r="C115" s="8">
        <f>IF(OR($B115=0,$B115=""),"",VLOOKUP($B115,sght,2,FALSE))</f>
      </c>
      <c r="D115" s="8">
        <f>IF(OR($B115=0,$B115=""),"",VLOOKUP($B115,sght,3,FALSE))</f>
      </c>
      <c r="E115" s="151"/>
      <c r="F115">
        <v>3</v>
      </c>
      <c r="H115" s="55">
        <f t="shared" si="24"/>
      </c>
      <c r="J115" s="12"/>
    </row>
    <row r="116" spans="1:10" ht="12.75">
      <c r="A116" s="6">
        <v>5</v>
      </c>
      <c r="B116" s="132"/>
      <c r="C116" s="8">
        <f>IF(OR($B116=0,$B116=""),"",VLOOKUP($B116,sght,2,FALSE))</f>
      </c>
      <c r="D116" s="8">
        <f>IF(OR($B116=0,$B116=""),"",VLOOKUP($B116,sght,3,FALSE))</f>
      </c>
      <c r="E116" s="151"/>
      <c r="F116">
        <v>2</v>
      </c>
      <c r="H116" s="55">
        <f t="shared" si="24"/>
      </c>
      <c r="J116" s="12"/>
    </row>
    <row r="117" spans="1:10" ht="12.75">
      <c r="A117" s="6">
        <v>6</v>
      </c>
      <c r="B117" s="145"/>
      <c r="C117" s="8">
        <f>IF(OR($B117=0,$B117=""),"",VLOOKUP($B117,sght,2,FALSE))</f>
      </c>
      <c r="D117" s="8">
        <f>IF(OR($B117=0,$B117=""),"",VLOOKUP($B117,sght,3,FALSE))</f>
      </c>
      <c r="E117" s="151"/>
      <c r="F117">
        <v>1</v>
      </c>
      <c r="H117" s="55">
        <f t="shared" si="24"/>
      </c>
      <c r="J117" s="12"/>
    </row>
    <row r="119" spans="1:10" ht="12.75">
      <c r="A119" s="14" t="s">
        <v>47</v>
      </c>
      <c r="B119" s="143"/>
      <c r="C119" s="14"/>
      <c r="D119" s="14"/>
      <c r="E119" s="143"/>
      <c r="F119" s="14"/>
      <c r="G119" s="51"/>
      <c r="H119" s="51"/>
      <c r="I119" s="14"/>
      <c r="J119" s="14"/>
    </row>
    <row r="121" spans="1:11" ht="12.75">
      <c r="A121" s="1" t="s">
        <v>0</v>
      </c>
      <c r="B121" s="134" t="s">
        <v>1</v>
      </c>
      <c r="C121" s="3" t="s">
        <v>2</v>
      </c>
      <c r="D121" s="4" t="s">
        <v>3</v>
      </c>
      <c r="E121" s="147" t="s">
        <v>4</v>
      </c>
      <c r="F121" s="16" t="s">
        <v>24</v>
      </c>
      <c r="I121" t="s">
        <v>6</v>
      </c>
      <c r="J121" s="17">
        <v>5.89</v>
      </c>
      <c r="K121" s="42" t="s">
        <v>276</v>
      </c>
    </row>
    <row r="122" spans="1:10" ht="12.75">
      <c r="A122" s="6">
        <v>1</v>
      </c>
      <c r="B122" s="138">
        <v>9</v>
      </c>
      <c r="C122" s="8" t="str">
        <f aca="true" t="shared" si="25" ref="C122:C133">IF(OR($B122=0,$B122=""),"",VLOOKUP($B122,sglj,2,FALSE))</f>
        <v>Hannah Jones</v>
      </c>
      <c r="D122" s="8" t="str">
        <f aca="true" t="shared" si="26" ref="D122:D133">IF(OR($B122=0,$B122=""),"",VLOOKUP($B122,sglj,3,FALSE))</f>
        <v>W&amp;M</v>
      </c>
      <c r="E122" s="151">
        <v>5.16</v>
      </c>
      <c r="F122">
        <v>6</v>
      </c>
      <c r="G122" s="55">
        <f>IF(E122="","",IF(E122&lt;J121,"","CBP"))</f>
      </c>
      <c r="H122" s="55">
        <f aca="true" t="shared" si="27" ref="H122:H127">IF(E122="","",IF(E122&lt;J$122,"","ESQ"))</f>
      </c>
      <c r="I122" t="s">
        <v>26</v>
      </c>
      <c r="J122" s="17">
        <v>5.4</v>
      </c>
    </row>
    <row r="123" spans="1:10" ht="12.75">
      <c r="A123" s="6">
        <v>2</v>
      </c>
      <c r="B123" s="138"/>
      <c r="C123" s="8">
        <f t="shared" si="25"/>
      </c>
      <c r="D123" s="8">
        <f t="shared" si="26"/>
      </c>
      <c r="E123" s="151"/>
      <c r="F123">
        <v>5</v>
      </c>
      <c r="H123" s="55">
        <f t="shared" si="27"/>
      </c>
      <c r="J123" s="12"/>
    </row>
    <row r="124" spans="1:10" ht="12.75">
      <c r="A124" s="6">
        <v>3</v>
      </c>
      <c r="B124" s="145"/>
      <c r="C124" s="8">
        <f t="shared" si="25"/>
      </c>
      <c r="D124" s="8">
        <f t="shared" si="26"/>
      </c>
      <c r="E124" s="151"/>
      <c r="F124">
        <v>4</v>
      </c>
      <c r="H124" s="55">
        <f t="shared" si="27"/>
      </c>
      <c r="J124" s="12"/>
    </row>
    <row r="125" spans="1:10" ht="12.75">
      <c r="A125" s="6">
        <v>4</v>
      </c>
      <c r="B125" s="141"/>
      <c r="C125" s="8">
        <f t="shared" si="25"/>
      </c>
      <c r="D125" s="8">
        <f t="shared" si="26"/>
      </c>
      <c r="E125" s="151"/>
      <c r="F125">
        <v>3</v>
      </c>
      <c r="H125" s="55">
        <f t="shared" si="27"/>
      </c>
      <c r="J125" s="12"/>
    </row>
    <row r="126" spans="1:10" ht="12.75">
      <c r="A126" s="6">
        <v>5</v>
      </c>
      <c r="B126" s="132"/>
      <c r="C126" s="8">
        <f t="shared" si="25"/>
      </c>
      <c r="D126" s="8">
        <f t="shared" si="26"/>
      </c>
      <c r="E126" s="151"/>
      <c r="F126">
        <v>2</v>
      </c>
      <c r="H126" s="55">
        <f t="shared" si="27"/>
      </c>
      <c r="J126" s="12"/>
    </row>
    <row r="127" spans="1:10" ht="12.75">
      <c r="A127" s="6">
        <v>6</v>
      </c>
      <c r="B127" s="145"/>
      <c r="C127" s="8">
        <f t="shared" si="25"/>
      </c>
      <c r="D127" s="8">
        <f t="shared" si="26"/>
      </c>
      <c r="E127" s="151"/>
      <c r="F127">
        <v>1</v>
      </c>
      <c r="H127" s="55">
        <f t="shared" si="27"/>
      </c>
      <c r="J127" s="12"/>
    </row>
    <row r="128" spans="1:5" ht="12.75">
      <c r="A128" s="6">
        <v>7</v>
      </c>
      <c r="C128" s="8">
        <f t="shared" si="25"/>
      </c>
      <c r="D128" s="8">
        <f t="shared" si="26"/>
      </c>
      <c r="E128" s="153"/>
    </row>
    <row r="129" spans="1:5" ht="12.75">
      <c r="A129" s="6">
        <v>8</v>
      </c>
      <c r="C129" s="8">
        <f t="shared" si="25"/>
      </c>
      <c r="D129" s="8">
        <f t="shared" si="26"/>
      </c>
      <c r="E129" s="153"/>
    </row>
    <row r="130" spans="1:5" ht="12.75">
      <c r="A130" s="6">
        <v>9</v>
      </c>
      <c r="C130" s="8">
        <f t="shared" si="25"/>
      </c>
      <c r="D130" s="8">
        <f t="shared" si="26"/>
      </c>
      <c r="E130" s="153"/>
    </row>
    <row r="131" spans="1:5" ht="12.75">
      <c r="A131" s="6">
        <v>10</v>
      </c>
      <c r="C131" s="8">
        <f t="shared" si="25"/>
      </c>
      <c r="D131" s="8">
        <f t="shared" si="26"/>
      </c>
      <c r="E131" s="153"/>
    </row>
    <row r="132" spans="1:5" ht="12.75">
      <c r="A132" s="6">
        <v>11</v>
      </c>
      <c r="C132" s="8">
        <f t="shared" si="25"/>
      </c>
      <c r="D132" s="8">
        <f t="shared" si="26"/>
      </c>
      <c r="E132" s="153"/>
    </row>
    <row r="133" spans="1:5" ht="12.75">
      <c r="A133" s="6">
        <v>12</v>
      </c>
      <c r="C133" s="8">
        <f t="shared" si="25"/>
      </c>
      <c r="D133" s="8">
        <f t="shared" si="26"/>
      </c>
      <c r="E133" s="153"/>
    </row>
    <row r="135" spans="1:10" ht="12.75">
      <c r="A135" s="14" t="s">
        <v>48</v>
      </c>
      <c r="B135" s="143"/>
      <c r="C135" s="14"/>
      <c r="D135" s="14"/>
      <c r="E135" s="143"/>
      <c r="F135" s="14"/>
      <c r="G135" s="51"/>
      <c r="H135" s="51"/>
      <c r="I135" s="14"/>
      <c r="J135" s="14"/>
    </row>
    <row r="137" spans="1:11" ht="12.75">
      <c r="A137" s="1" t="s">
        <v>0</v>
      </c>
      <c r="B137" s="134" t="s">
        <v>1</v>
      </c>
      <c r="C137" s="3" t="s">
        <v>2</v>
      </c>
      <c r="D137" s="4" t="s">
        <v>3</v>
      </c>
      <c r="E137" s="147" t="s">
        <v>4</v>
      </c>
      <c r="F137" s="16" t="s">
        <v>24</v>
      </c>
      <c r="I137" t="s">
        <v>6</v>
      </c>
      <c r="J137" s="17">
        <v>45.58</v>
      </c>
      <c r="K137" s="42" t="s">
        <v>278</v>
      </c>
    </row>
    <row r="138" spans="1:10" ht="12.75">
      <c r="A138" s="6">
        <v>1</v>
      </c>
      <c r="B138" s="138">
        <v>5</v>
      </c>
      <c r="C138" s="8" t="str">
        <f aca="true" t="shared" si="28" ref="C138:C149">IF(OR($B138=0,$B138=""),"",VLOOKUP($B138,sgdt,2,FALSE))</f>
        <v>Caitlin Stacey</v>
      </c>
      <c r="D138" s="8" t="str">
        <f aca="true" t="shared" si="29" ref="D138:D149">IF(OR($B138=0,$B138=""),"",VLOOKUP($B138,sgdt,3,FALSE))</f>
        <v>RDG</v>
      </c>
      <c r="E138" s="151">
        <v>38.18</v>
      </c>
      <c r="F138">
        <v>6</v>
      </c>
      <c r="G138" s="55">
        <f>IF(E138="","",IF(E138&lt;J137,"","CBP"))</f>
      </c>
      <c r="H138" s="55" t="str">
        <f aca="true" t="shared" si="30" ref="H138:H143">IF(E138="","",IF(E138&lt;J$138,"","ESQ"))</f>
        <v>ESQ</v>
      </c>
      <c r="I138" t="s">
        <v>26</v>
      </c>
      <c r="J138" s="17">
        <v>36</v>
      </c>
    </row>
    <row r="139" spans="1:10" ht="12.75">
      <c r="A139" s="6">
        <v>2</v>
      </c>
      <c r="B139" s="138">
        <v>9</v>
      </c>
      <c r="C139" s="8" t="str">
        <f t="shared" si="28"/>
        <v>Jessica Williams</v>
      </c>
      <c r="D139" s="8" t="str">
        <f t="shared" si="29"/>
        <v>W&amp;M</v>
      </c>
      <c r="E139" s="151">
        <v>32.93</v>
      </c>
      <c r="F139">
        <v>5</v>
      </c>
      <c r="H139" s="55">
        <f t="shared" si="30"/>
      </c>
      <c r="J139" s="12"/>
    </row>
    <row r="140" spans="1:10" ht="12.75">
      <c r="A140" s="6">
        <v>3</v>
      </c>
      <c r="B140" s="145"/>
      <c r="C140" s="8">
        <f t="shared" si="28"/>
      </c>
      <c r="D140" s="8">
        <f t="shared" si="29"/>
      </c>
      <c r="E140" s="151"/>
      <c r="F140">
        <v>4</v>
      </c>
      <c r="H140" s="55">
        <f t="shared" si="30"/>
      </c>
      <c r="J140" s="12"/>
    </row>
    <row r="141" spans="1:10" ht="12.75">
      <c r="A141" s="6">
        <v>4</v>
      </c>
      <c r="B141" s="141"/>
      <c r="C141" s="8">
        <f t="shared" si="28"/>
      </c>
      <c r="D141" s="8">
        <f t="shared" si="29"/>
      </c>
      <c r="E141" s="151"/>
      <c r="F141">
        <v>3</v>
      </c>
      <c r="H141" s="55">
        <f t="shared" si="30"/>
      </c>
      <c r="J141" s="12"/>
    </row>
    <row r="142" spans="1:10" ht="12.75">
      <c r="A142" s="6">
        <v>5</v>
      </c>
      <c r="B142" s="132"/>
      <c r="C142" s="8">
        <f t="shared" si="28"/>
      </c>
      <c r="D142" s="8">
        <f t="shared" si="29"/>
      </c>
      <c r="E142" s="151"/>
      <c r="F142">
        <v>2</v>
      </c>
      <c r="H142" s="55">
        <f t="shared" si="30"/>
      </c>
      <c r="J142" s="12"/>
    </row>
    <row r="143" spans="1:10" ht="12.75">
      <c r="A143" s="6">
        <v>6</v>
      </c>
      <c r="B143" s="145"/>
      <c r="C143" s="8">
        <f t="shared" si="28"/>
      </c>
      <c r="D143" s="8">
        <f t="shared" si="29"/>
      </c>
      <c r="E143" s="151"/>
      <c r="F143">
        <v>1</v>
      </c>
      <c r="H143" s="55">
        <f t="shared" si="30"/>
      </c>
      <c r="J143" s="12"/>
    </row>
    <row r="144" spans="1:5" ht="12.75">
      <c r="A144" s="6">
        <v>7</v>
      </c>
      <c r="C144" s="8">
        <f t="shared" si="28"/>
      </c>
      <c r="D144" s="8">
        <f t="shared" si="29"/>
      </c>
      <c r="E144" s="153"/>
    </row>
    <row r="145" spans="1:5" ht="12.75">
      <c r="A145" s="6">
        <v>8</v>
      </c>
      <c r="C145" s="8">
        <f t="shared" si="28"/>
      </c>
      <c r="D145" s="8">
        <f t="shared" si="29"/>
      </c>
      <c r="E145" s="153"/>
    </row>
    <row r="146" spans="1:5" ht="12.75">
      <c r="A146" s="6">
        <v>9</v>
      </c>
      <c r="C146" s="8">
        <f t="shared" si="28"/>
      </c>
      <c r="D146" s="8">
        <f t="shared" si="29"/>
      </c>
      <c r="E146" s="153"/>
    </row>
    <row r="147" spans="1:5" ht="12.75">
      <c r="A147" s="6">
        <v>10</v>
      </c>
      <c r="C147" s="8">
        <f t="shared" si="28"/>
      </c>
      <c r="D147" s="8">
        <f t="shared" si="29"/>
      </c>
      <c r="E147" s="153"/>
    </row>
    <row r="148" spans="1:5" ht="12.75">
      <c r="A148" s="6">
        <v>11</v>
      </c>
      <c r="C148" s="8">
        <f t="shared" si="28"/>
      </c>
      <c r="D148" s="8">
        <f t="shared" si="29"/>
      </c>
      <c r="E148" s="153"/>
    </row>
    <row r="149" spans="1:5" ht="12.75">
      <c r="A149" s="6">
        <v>12</v>
      </c>
      <c r="C149" s="8">
        <f t="shared" si="28"/>
      </c>
      <c r="D149" s="8">
        <f t="shared" si="29"/>
      </c>
      <c r="E149" s="153"/>
    </row>
    <row r="151" spans="1:10" ht="12.75">
      <c r="A151" s="14" t="s">
        <v>57</v>
      </c>
      <c r="B151" s="143"/>
      <c r="C151" s="14"/>
      <c r="D151" s="14"/>
      <c r="E151" s="143"/>
      <c r="F151" s="14"/>
      <c r="G151" s="51"/>
      <c r="H151" s="51"/>
      <c r="I151" s="14"/>
      <c r="J151" s="14"/>
    </row>
    <row r="153" spans="1:11" ht="12.75">
      <c r="A153" s="1" t="s">
        <v>0</v>
      </c>
      <c r="B153" s="134" t="s">
        <v>1</v>
      </c>
      <c r="C153" s="3" t="s">
        <v>2</v>
      </c>
      <c r="D153" s="4" t="s">
        <v>3</v>
      </c>
      <c r="E153" s="147" t="s">
        <v>4</v>
      </c>
      <c r="F153" s="16" t="s">
        <v>24</v>
      </c>
      <c r="I153" t="s">
        <v>6</v>
      </c>
      <c r="J153" s="17">
        <v>41.29</v>
      </c>
      <c r="K153" s="42" t="s">
        <v>345</v>
      </c>
    </row>
    <row r="154" spans="1:10" ht="12.75">
      <c r="A154" s="6">
        <v>1</v>
      </c>
      <c r="B154" s="138">
        <v>11</v>
      </c>
      <c r="C154" s="8" t="str">
        <f aca="true" t="shared" si="31" ref="C154:C164">IF(OR($B154=0,$B154=""),"",VLOOKUP($B154,sgjt,2,FALSE))</f>
        <v>Katie Holt</v>
      </c>
      <c r="D154" s="8" t="str">
        <f aca="true" t="shared" si="32" ref="D154:D165">IF(OR($B154=0,$B154=""),"",VLOOKUP($B154,sgjt,3,FALSE))</f>
        <v>WOK</v>
      </c>
      <c r="E154" s="151">
        <v>36.16</v>
      </c>
      <c r="F154">
        <v>6</v>
      </c>
      <c r="G154" s="55">
        <f>IF(E154="","",IF(E154&lt;J153,"","CBP"))</f>
      </c>
      <c r="H154" s="55">
        <f aca="true" t="shared" si="33" ref="H154:H159">IF(E154="","",IF(E154&lt;J$154,"","ESQ"))</f>
      </c>
      <c r="I154" t="s">
        <v>26</v>
      </c>
      <c r="J154" s="17">
        <v>37</v>
      </c>
    </row>
    <row r="155" spans="1:10" ht="12.75">
      <c r="A155" s="6">
        <v>2</v>
      </c>
      <c r="B155" s="138"/>
      <c r="C155" s="8">
        <f t="shared" si="31"/>
      </c>
      <c r="D155" s="8">
        <f t="shared" si="32"/>
      </c>
      <c r="E155" s="151"/>
      <c r="F155">
        <v>5</v>
      </c>
      <c r="H155" s="55">
        <f t="shared" si="33"/>
      </c>
      <c r="J155" s="12"/>
    </row>
    <row r="156" spans="1:10" ht="12.75">
      <c r="A156" s="6">
        <v>3</v>
      </c>
      <c r="B156" s="145"/>
      <c r="C156" s="8">
        <f t="shared" si="31"/>
      </c>
      <c r="D156" s="8">
        <f t="shared" si="32"/>
      </c>
      <c r="E156" s="151"/>
      <c r="F156">
        <v>4</v>
      </c>
      <c r="H156" s="55">
        <f t="shared" si="33"/>
      </c>
      <c r="J156" s="12"/>
    </row>
    <row r="157" spans="1:10" ht="12.75">
      <c r="A157" s="6">
        <v>4</v>
      </c>
      <c r="B157" s="141"/>
      <c r="C157" s="8">
        <f t="shared" si="31"/>
      </c>
      <c r="D157" s="8">
        <f t="shared" si="32"/>
      </c>
      <c r="E157" s="151"/>
      <c r="F157">
        <v>3</v>
      </c>
      <c r="H157" s="55">
        <f t="shared" si="33"/>
      </c>
      <c r="J157" s="12"/>
    </row>
    <row r="158" spans="1:10" ht="12.75">
      <c r="A158" s="6">
        <v>5</v>
      </c>
      <c r="B158" s="132"/>
      <c r="C158" s="8">
        <f t="shared" si="31"/>
      </c>
      <c r="D158" s="8">
        <f t="shared" si="32"/>
      </c>
      <c r="E158" s="151"/>
      <c r="F158">
        <v>2</v>
      </c>
      <c r="H158" s="55">
        <f t="shared" si="33"/>
      </c>
      <c r="J158" s="12"/>
    </row>
    <row r="159" spans="1:10" ht="12.75">
      <c r="A159" s="6">
        <v>6</v>
      </c>
      <c r="B159" s="145"/>
      <c r="C159" s="8">
        <f t="shared" si="31"/>
      </c>
      <c r="D159" s="8">
        <f t="shared" si="32"/>
      </c>
      <c r="E159" s="151"/>
      <c r="F159">
        <v>1</v>
      </c>
      <c r="H159" s="55">
        <f t="shared" si="33"/>
      </c>
      <c r="J159" s="12"/>
    </row>
    <row r="160" spans="1:5" ht="12.75">
      <c r="A160" s="6">
        <v>7</v>
      </c>
      <c r="C160" s="8">
        <f t="shared" si="31"/>
      </c>
      <c r="D160" s="8">
        <f t="shared" si="32"/>
      </c>
      <c r="E160" s="153"/>
    </row>
    <row r="161" spans="1:5" ht="12.75">
      <c r="A161" s="6">
        <v>8</v>
      </c>
      <c r="C161" s="8">
        <f t="shared" si="31"/>
      </c>
      <c r="D161" s="8">
        <f t="shared" si="32"/>
      </c>
      <c r="E161" s="153"/>
    </row>
    <row r="162" spans="1:5" ht="12.75">
      <c r="A162" s="6">
        <v>9</v>
      </c>
      <c r="C162" s="8">
        <f t="shared" si="31"/>
      </c>
      <c r="D162" s="8">
        <f t="shared" si="32"/>
      </c>
      <c r="E162" s="153"/>
    </row>
    <row r="163" spans="1:5" ht="12.75">
      <c r="A163" s="6">
        <v>10</v>
      </c>
      <c r="C163" s="8">
        <f t="shared" si="31"/>
      </c>
      <c r="D163" s="8">
        <f t="shared" si="32"/>
      </c>
      <c r="E163" s="153"/>
    </row>
    <row r="164" spans="1:5" ht="12.75">
      <c r="A164" s="6">
        <v>11</v>
      </c>
      <c r="C164" s="8">
        <f t="shared" si="31"/>
      </c>
      <c r="D164" s="8">
        <f t="shared" si="32"/>
      </c>
      <c r="E164" s="153"/>
    </row>
    <row r="165" spans="1:5" ht="12.75">
      <c r="A165" s="6">
        <v>12</v>
      </c>
      <c r="D165" s="8">
        <f t="shared" si="32"/>
      </c>
      <c r="E165" s="153"/>
    </row>
    <row r="167" spans="1:10" ht="12.75">
      <c r="A167" s="14" t="s">
        <v>60</v>
      </c>
      <c r="B167" s="143"/>
      <c r="C167" s="14"/>
      <c r="D167" s="14"/>
      <c r="E167" s="143"/>
      <c r="F167" s="14"/>
      <c r="G167" s="51"/>
      <c r="H167" s="51"/>
      <c r="I167" s="14"/>
      <c r="J167" s="14"/>
    </row>
    <row r="169" spans="1:11" ht="12.75">
      <c r="A169" s="1" t="s">
        <v>0</v>
      </c>
      <c r="B169" s="134" t="s">
        <v>1</v>
      </c>
      <c r="C169" s="3" t="s">
        <v>2</v>
      </c>
      <c r="D169" s="4" t="s">
        <v>3</v>
      </c>
      <c r="E169" s="147" t="s">
        <v>4</v>
      </c>
      <c r="F169" s="16" t="s">
        <v>24</v>
      </c>
      <c r="I169" t="s">
        <v>6</v>
      </c>
      <c r="J169" s="17">
        <v>1.75</v>
      </c>
      <c r="K169" s="42" t="s">
        <v>346</v>
      </c>
    </row>
    <row r="170" spans="1:10" ht="12.75">
      <c r="A170" s="6">
        <v>1</v>
      </c>
      <c r="B170" s="138">
        <v>3</v>
      </c>
      <c r="C170" s="8" t="str">
        <f aca="true" t="shared" si="34" ref="C170:C181">IF(OR($B170=0,$B170=""),"",VLOOKUP($B170,sghj,2,FALSE))</f>
        <v>E Houston</v>
      </c>
      <c r="D170" s="8" t="str">
        <f aca="true" t="shared" si="35" ref="D170:D181">IF(OR($B170=0,$B170=""),"",VLOOKUP($B170,sghj,3,FALSE))</f>
        <v>WB</v>
      </c>
      <c r="E170" s="151">
        <v>1.6</v>
      </c>
      <c r="F170">
        <v>6</v>
      </c>
      <c r="G170" s="55">
        <f>IF(E170="","",IF(E170&lt;J169,"","CBP"))</f>
      </c>
      <c r="H170" s="55">
        <f aca="true" t="shared" si="36" ref="H170:H175">IF(E170="","",IF(E170&lt;J$170,"","ESQ"))</f>
      </c>
      <c r="I170" t="s">
        <v>26</v>
      </c>
      <c r="J170" s="17">
        <v>1.66</v>
      </c>
    </row>
    <row r="171" spans="1:10" ht="12.75">
      <c r="A171" s="6">
        <v>2</v>
      </c>
      <c r="B171" s="138">
        <v>11</v>
      </c>
      <c r="C171" s="8" t="str">
        <f t="shared" si="34"/>
        <v>Molly Bates</v>
      </c>
      <c r="D171" s="8" t="str">
        <f t="shared" si="35"/>
        <v>WOK</v>
      </c>
      <c r="E171" s="151">
        <v>1.55</v>
      </c>
      <c r="F171">
        <v>5</v>
      </c>
      <c r="H171" s="55">
        <f t="shared" si="36"/>
      </c>
      <c r="J171" s="12"/>
    </row>
    <row r="172" spans="1:10" ht="12.75">
      <c r="A172" s="6">
        <v>3</v>
      </c>
      <c r="B172" s="145"/>
      <c r="C172" s="8">
        <f t="shared" si="34"/>
      </c>
      <c r="D172" s="8">
        <f t="shared" si="35"/>
      </c>
      <c r="E172" s="151"/>
      <c r="F172">
        <v>4</v>
      </c>
      <c r="H172" s="55">
        <f t="shared" si="36"/>
      </c>
      <c r="J172" s="12"/>
    </row>
    <row r="173" spans="1:10" ht="12.75">
      <c r="A173" s="6">
        <v>4</v>
      </c>
      <c r="B173" s="141"/>
      <c r="C173" s="8">
        <f t="shared" si="34"/>
      </c>
      <c r="D173" s="8">
        <f t="shared" si="35"/>
      </c>
      <c r="E173" s="151"/>
      <c r="F173">
        <v>3</v>
      </c>
      <c r="H173" s="55">
        <f t="shared" si="36"/>
      </c>
      <c r="J173" s="12"/>
    </row>
    <row r="174" spans="1:10" ht="12.75">
      <c r="A174" s="6">
        <v>5</v>
      </c>
      <c r="B174" s="132"/>
      <c r="C174" s="8">
        <f t="shared" si="34"/>
      </c>
      <c r="D174" s="8">
        <f t="shared" si="35"/>
      </c>
      <c r="E174" s="151"/>
      <c r="F174">
        <v>2</v>
      </c>
      <c r="H174" s="55">
        <f t="shared" si="36"/>
      </c>
      <c r="J174" s="12"/>
    </row>
    <row r="175" spans="1:10" ht="12.75">
      <c r="A175" s="6">
        <v>6</v>
      </c>
      <c r="B175" s="145"/>
      <c r="C175" s="8">
        <f t="shared" si="34"/>
      </c>
      <c r="D175" s="8">
        <f t="shared" si="35"/>
      </c>
      <c r="E175" s="151"/>
      <c r="F175">
        <v>1</v>
      </c>
      <c r="H175" s="55">
        <f t="shared" si="36"/>
      </c>
      <c r="J175" s="12"/>
    </row>
    <row r="176" spans="1:5" ht="12.75">
      <c r="A176" s="6">
        <v>7</v>
      </c>
      <c r="C176" s="8">
        <f t="shared" si="34"/>
      </c>
      <c r="D176" s="8">
        <f t="shared" si="35"/>
      </c>
      <c r="E176" s="153"/>
    </row>
    <row r="177" spans="1:5" ht="12.75">
      <c r="A177" s="6">
        <v>8</v>
      </c>
      <c r="C177" s="8">
        <f t="shared" si="34"/>
      </c>
      <c r="D177" s="8">
        <f t="shared" si="35"/>
      </c>
      <c r="E177" s="153"/>
    </row>
    <row r="178" spans="1:5" ht="12.75">
      <c r="A178" s="6">
        <v>9</v>
      </c>
      <c r="C178" s="8">
        <f t="shared" si="34"/>
      </c>
      <c r="D178" s="8">
        <f t="shared" si="35"/>
      </c>
      <c r="E178" s="153"/>
    </row>
    <row r="179" spans="1:5" ht="12.75">
      <c r="A179" s="6">
        <v>10</v>
      </c>
      <c r="C179" s="8">
        <f t="shared" si="34"/>
      </c>
      <c r="D179" s="8">
        <f t="shared" si="35"/>
      </c>
      <c r="E179" s="153"/>
    </row>
    <row r="180" spans="1:5" ht="12.75">
      <c r="A180" s="6">
        <v>11</v>
      </c>
      <c r="C180" s="8">
        <f t="shared" si="34"/>
      </c>
      <c r="D180" s="8">
        <f t="shared" si="35"/>
      </c>
      <c r="E180" s="153"/>
    </row>
    <row r="181" spans="1:5" ht="12.75">
      <c r="A181" s="6">
        <v>12</v>
      </c>
      <c r="C181" s="8">
        <f t="shared" si="34"/>
      </c>
      <c r="D181" s="8">
        <f t="shared" si="35"/>
      </c>
      <c r="E181" s="153"/>
    </row>
    <row r="183" spans="1:10" ht="12.75">
      <c r="A183" s="14" t="s">
        <v>146</v>
      </c>
      <c r="B183" s="143"/>
      <c r="C183" s="14"/>
      <c r="D183" s="14"/>
      <c r="E183" s="143"/>
      <c r="F183" s="14"/>
      <c r="G183" s="51"/>
      <c r="H183" s="51"/>
      <c r="I183" s="14"/>
      <c r="J183" s="14"/>
    </row>
    <row r="185" spans="1:11" ht="12.75">
      <c r="A185" s="1" t="s">
        <v>0</v>
      </c>
      <c r="B185" s="134" t="s">
        <v>1</v>
      </c>
      <c r="C185" s="3" t="s">
        <v>2</v>
      </c>
      <c r="D185" s="4" t="s">
        <v>3</v>
      </c>
      <c r="E185" s="147" t="s">
        <v>4</v>
      </c>
      <c r="F185" s="16" t="s">
        <v>24</v>
      </c>
      <c r="I185" t="s">
        <v>6</v>
      </c>
      <c r="J185" s="17">
        <v>13.63</v>
      </c>
      <c r="K185" s="42" t="s">
        <v>294</v>
      </c>
    </row>
    <row r="186" spans="1:10" ht="12.75">
      <c r="A186" s="6">
        <v>1</v>
      </c>
      <c r="B186" s="138">
        <v>1</v>
      </c>
      <c r="C186" s="8" t="str">
        <f>IF(OR($B186=0,$B186=""),"",VLOOKUP($B186,sgsp,2,FALSE))</f>
        <v>Y Bryan</v>
      </c>
      <c r="D186" s="8" t="str">
        <f>IF(OR($B186=0,$B186=""),"",VLOOKUP($B186,sgsp,3,FALSE))</f>
        <v>BRK</v>
      </c>
      <c r="E186" s="151">
        <v>9.07</v>
      </c>
      <c r="F186">
        <v>6</v>
      </c>
      <c r="G186" s="55">
        <f>IF(E186="","",IF(E186&lt;J185,"","CBP"))</f>
      </c>
      <c r="H186" s="55">
        <f aca="true" t="shared" si="37" ref="H186:H191">IF(E186="","",IF(E186&lt;J$186,"","ESQ"))</f>
      </c>
      <c r="I186" t="s">
        <v>26</v>
      </c>
      <c r="J186" s="17">
        <v>10.5</v>
      </c>
    </row>
    <row r="187" spans="1:10" ht="12.75">
      <c r="A187" s="6">
        <v>2</v>
      </c>
      <c r="B187" s="138"/>
      <c r="C187" s="8">
        <f aca="true" t="shared" si="38" ref="C187:C197">IF(OR($B187=0,$B187=""),"",VLOOKUP($B187,sgsp,2,FALSE))</f>
      </c>
      <c r="D187" s="8">
        <f aca="true" t="shared" si="39" ref="D187:D197">IF(OR($B187=0,$B187=""),"",VLOOKUP($B187,sgsp,3,FALSE))</f>
      </c>
      <c r="E187" s="151"/>
      <c r="F187">
        <v>5</v>
      </c>
      <c r="H187" s="55">
        <f t="shared" si="37"/>
      </c>
      <c r="J187" s="12"/>
    </row>
    <row r="188" spans="1:10" ht="12.75">
      <c r="A188" s="6">
        <v>3</v>
      </c>
      <c r="B188" s="145"/>
      <c r="C188" s="8">
        <f t="shared" si="38"/>
      </c>
      <c r="D188" s="8">
        <f t="shared" si="39"/>
      </c>
      <c r="E188" s="151"/>
      <c r="F188">
        <v>4</v>
      </c>
      <c r="H188" s="55">
        <f t="shared" si="37"/>
      </c>
      <c r="J188" s="12"/>
    </row>
    <row r="189" spans="1:10" ht="12.75">
      <c r="A189" s="6">
        <v>4</v>
      </c>
      <c r="B189" s="141"/>
      <c r="C189" s="8">
        <f t="shared" si="38"/>
      </c>
      <c r="D189" s="8">
        <f t="shared" si="39"/>
      </c>
      <c r="E189" s="151"/>
      <c r="F189">
        <v>3</v>
      </c>
      <c r="H189" s="55">
        <f t="shared" si="37"/>
      </c>
      <c r="J189" s="12"/>
    </row>
    <row r="190" spans="1:10" ht="12.75">
      <c r="A190" s="6">
        <v>5</v>
      </c>
      <c r="B190" s="132"/>
      <c r="C190" s="8">
        <f t="shared" si="38"/>
      </c>
      <c r="D190" s="8">
        <f t="shared" si="39"/>
      </c>
      <c r="E190" s="151"/>
      <c r="F190">
        <v>2</v>
      </c>
      <c r="H190" s="55">
        <f t="shared" si="37"/>
      </c>
      <c r="J190" s="12"/>
    </row>
    <row r="191" spans="1:10" ht="12.75">
      <c r="A191" s="6">
        <v>6</v>
      </c>
      <c r="B191" s="145"/>
      <c r="C191" s="8">
        <f t="shared" si="38"/>
      </c>
      <c r="D191" s="8">
        <f t="shared" si="39"/>
      </c>
      <c r="E191" s="151"/>
      <c r="F191">
        <v>1</v>
      </c>
      <c r="H191" s="55">
        <f t="shared" si="37"/>
      </c>
      <c r="J191" s="12"/>
    </row>
    <row r="192" spans="1:5" ht="12.75">
      <c r="A192" s="6">
        <v>7</v>
      </c>
      <c r="C192" s="8">
        <f t="shared" si="38"/>
      </c>
      <c r="D192" s="8">
        <f t="shared" si="39"/>
      </c>
      <c r="E192" s="153"/>
    </row>
    <row r="193" spans="1:5" ht="12.75">
      <c r="A193" s="6">
        <v>8</v>
      </c>
      <c r="C193" s="8">
        <f t="shared" si="38"/>
      </c>
      <c r="D193" s="8">
        <f t="shared" si="39"/>
      </c>
      <c r="E193" s="153"/>
    </row>
    <row r="194" spans="1:5" ht="12.75">
      <c r="A194" s="6">
        <v>9</v>
      </c>
      <c r="C194" s="8">
        <f t="shared" si="38"/>
      </c>
      <c r="D194" s="8">
        <f t="shared" si="39"/>
      </c>
      <c r="E194" s="153"/>
    </row>
    <row r="195" spans="1:5" ht="12.75">
      <c r="A195" s="6">
        <v>10</v>
      </c>
      <c r="C195" s="8">
        <f t="shared" si="38"/>
      </c>
      <c r="D195" s="8">
        <f t="shared" si="39"/>
      </c>
      <c r="E195" s="153"/>
    </row>
    <row r="196" spans="1:5" ht="12.75">
      <c r="A196" s="6">
        <v>11</v>
      </c>
      <c r="C196" s="8">
        <f t="shared" si="38"/>
      </c>
      <c r="D196" s="8">
        <f t="shared" si="39"/>
      </c>
      <c r="E196" s="153"/>
    </row>
    <row r="197" spans="1:5" ht="12.75">
      <c r="A197" s="6">
        <v>12</v>
      </c>
      <c r="C197" s="8">
        <f t="shared" si="38"/>
      </c>
      <c r="D197" s="8">
        <f t="shared" si="39"/>
      </c>
      <c r="E197" s="153"/>
    </row>
    <row r="199" spans="1:10" ht="12.75">
      <c r="A199" s="14" t="s">
        <v>63</v>
      </c>
      <c r="B199" s="143"/>
      <c r="C199" s="14"/>
      <c r="D199" s="14"/>
      <c r="E199" s="143"/>
      <c r="F199" s="14"/>
      <c r="G199" s="51"/>
      <c r="H199" s="51"/>
      <c r="I199" s="14"/>
      <c r="J199" s="14"/>
    </row>
    <row r="201" spans="1:11" ht="12.75">
      <c r="A201" s="1" t="s">
        <v>0</v>
      </c>
      <c r="B201" s="134" t="s">
        <v>1</v>
      </c>
      <c r="C201" s="3" t="s">
        <v>2</v>
      </c>
      <c r="D201" s="4" t="s">
        <v>3</v>
      </c>
      <c r="E201" s="147" t="s">
        <v>4</v>
      </c>
      <c r="F201" s="16" t="s">
        <v>24</v>
      </c>
      <c r="I201" t="s">
        <v>6</v>
      </c>
      <c r="J201" s="17">
        <v>11.73</v>
      </c>
      <c r="K201" s="42" t="s">
        <v>297</v>
      </c>
    </row>
    <row r="202" spans="1:10" ht="12.75">
      <c r="A202" s="6">
        <v>1</v>
      </c>
      <c r="B202" s="138">
        <v>3</v>
      </c>
      <c r="C202" s="8" t="str">
        <f aca="true" t="shared" si="40" ref="C202:C213">IF(OR($B202=0,$B202=""),"",VLOOKUP($B202,sgtj,2,FALSE))</f>
        <v>P Young</v>
      </c>
      <c r="D202" s="8" t="str">
        <f aca="true" t="shared" si="41" ref="D202:D213">IF(OR($B202=0,$B202=""),"",VLOOKUP($B202,sgtj,3,FALSE))</f>
        <v>WB</v>
      </c>
      <c r="E202" s="151">
        <v>9.73</v>
      </c>
      <c r="F202">
        <v>6</v>
      </c>
      <c r="G202" s="55">
        <f>IF(E202="","",IF(E202&lt;J201,"","CBP"))</f>
      </c>
      <c r="H202" s="55">
        <f aca="true" t="shared" si="42" ref="H202:H207">IF(E202="","",IF(E202&lt;J$202,"","ESQ"))</f>
      </c>
      <c r="I202" t="s">
        <v>26</v>
      </c>
      <c r="J202" s="17">
        <v>11</v>
      </c>
    </row>
    <row r="203" spans="1:10" ht="12.75">
      <c r="A203" s="6">
        <v>2</v>
      </c>
      <c r="B203" s="138"/>
      <c r="C203" s="8">
        <f t="shared" si="40"/>
      </c>
      <c r="D203" s="8">
        <f t="shared" si="41"/>
      </c>
      <c r="E203" s="151"/>
      <c r="F203">
        <v>5</v>
      </c>
      <c r="H203" s="55">
        <f t="shared" si="42"/>
      </c>
      <c r="J203" s="12"/>
    </row>
    <row r="204" spans="1:10" ht="12.75">
      <c r="A204" s="6">
        <v>3</v>
      </c>
      <c r="B204" s="145"/>
      <c r="C204" s="8">
        <f t="shared" si="40"/>
      </c>
      <c r="D204" s="8">
        <f t="shared" si="41"/>
      </c>
      <c r="E204" s="151"/>
      <c r="F204">
        <v>4</v>
      </c>
      <c r="H204" s="55">
        <f t="shared" si="42"/>
      </c>
      <c r="J204" s="12"/>
    </row>
    <row r="205" spans="1:10" ht="12.75">
      <c r="A205" s="6">
        <v>4</v>
      </c>
      <c r="B205" s="141"/>
      <c r="C205" s="8">
        <f t="shared" si="40"/>
      </c>
      <c r="D205" s="8">
        <f t="shared" si="41"/>
      </c>
      <c r="E205" s="151"/>
      <c r="F205">
        <v>3</v>
      </c>
      <c r="H205" s="55">
        <f t="shared" si="42"/>
      </c>
      <c r="J205" s="12"/>
    </row>
    <row r="206" spans="1:10" ht="12.75">
      <c r="A206" s="6">
        <v>5</v>
      </c>
      <c r="B206" s="132"/>
      <c r="C206" s="8">
        <f t="shared" si="40"/>
      </c>
      <c r="D206" s="8">
        <f t="shared" si="41"/>
      </c>
      <c r="E206" s="151"/>
      <c r="F206">
        <v>2</v>
      </c>
      <c r="H206" s="55">
        <f t="shared" si="42"/>
      </c>
      <c r="J206" s="12"/>
    </row>
    <row r="207" spans="1:10" ht="12.75">
      <c r="A207" s="6">
        <v>6</v>
      </c>
      <c r="B207" s="145"/>
      <c r="C207" s="8">
        <f t="shared" si="40"/>
      </c>
      <c r="D207" s="8">
        <f t="shared" si="41"/>
      </c>
      <c r="E207" s="151"/>
      <c r="F207">
        <v>1</v>
      </c>
      <c r="H207" s="55">
        <f t="shared" si="42"/>
      </c>
      <c r="J207" s="12"/>
    </row>
    <row r="208" spans="1:5" ht="12.75">
      <c r="A208" s="6">
        <v>7</v>
      </c>
      <c r="C208" s="8">
        <f t="shared" si="40"/>
      </c>
      <c r="D208" s="8">
        <f t="shared" si="41"/>
      </c>
      <c r="E208" s="153"/>
    </row>
    <row r="209" spans="1:5" ht="12.75">
      <c r="A209" s="6">
        <v>8</v>
      </c>
      <c r="C209" s="8">
        <f t="shared" si="40"/>
      </c>
      <c r="D209" s="8">
        <f t="shared" si="41"/>
      </c>
      <c r="E209" s="153"/>
    </row>
    <row r="210" spans="1:5" ht="12.75">
      <c r="A210" s="6">
        <v>9</v>
      </c>
      <c r="C210" s="8">
        <f t="shared" si="40"/>
      </c>
      <c r="D210" s="8">
        <f t="shared" si="41"/>
      </c>
      <c r="E210" s="153"/>
    </row>
    <row r="211" spans="1:5" ht="12.75">
      <c r="A211" s="6">
        <v>10</v>
      </c>
      <c r="C211" s="8">
        <f t="shared" si="40"/>
      </c>
      <c r="D211" s="8">
        <f t="shared" si="41"/>
      </c>
      <c r="E211" s="153"/>
    </row>
    <row r="212" spans="1:5" ht="12.75">
      <c r="A212" s="6">
        <v>11</v>
      </c>
      <c r="C212" s="8">
        <f t="shared" si="40"/>
      </c>
      <c r="D212" s="8">
        <f t="shared" si="41"/>
      </c>
      <c r="E212" s="153"/>
    </row>
    <row r="213" spans="1:5" ht="12.75">
      <c r="A213" s="6">
        <v>12</v>
      </c>
      <c r="C213" s="8">
        <f t="shared" si="40"/>
      </c>
      <c r="D213" s="8">
        <f t="shared" si="41"/>
      </c>
      <c r="E213" s="153"/>
    </row>
    <row r="215" spans="1:10" ht="12.75">
      <c r="A215" s="14" t="s">
        <v>143</v>
      </c>
      <c r="B215" s="143"/>
      <c r="C215" s="14"/>
      <c r="D215" s="14"/>
      <c r="E215" s="143"/>
      <c r="F215" s="14"/>
      <c r="G215" s="51"/>
      <c r="H215" s="51"/>
      <c r="I215" s="14"/>
      <c r="J215" s="14"/>
    </row>
    <row r="217" spans="1:11" ht="12.75">
      <c r="A217" s="1" t="s">
        <v>0</v>
      </c>
      <c r="B217" s="134" t="s">
        <v>1</v>
      </c>
      <c r="C217" s="3" t="s">
        <v>2</v>
      </c>
      <c r="D217" s="4" t="s">
        <v>3</v>
      </c>
      <c r="E217" s="147" t="s">
        <v>4</v>
      </c>
      <c r="F217" s="16" t="s">
        <v>24</v>
      </c>
      <c r="I217" t="s">
        <v>6</v>
      </c>
      <c r="J217" s="17">
        <v>3</v>
      </c>
      <c r="K217" s="42" t="s">
        <v>347</v>
      </c>
    </row>
    <row r="218" spans="1:10" ht="12.75">
      <c r="A218" s="6">
        <v>1</v>
      </c>
      <c r="B218" s="138">
        <v>11</v>
      </c>
      <c r="C218" s="8" t="str">
        <f aca="true" t="shared" si="43" ref="C218:C223">IF(OR($B218=0,$B218=""),"",VLOOKUP($B218,sgpv,2,FALSE))</f>
        <v>Emily McDonald</v>
      </c>
      <c r="D218" s="8" t="str">
        <f aca="true" t="shared" si="44" ref="D218:D223">IF(OR($B218=0,$B218=""),"",VLOOKUP($B218,sgpv,3,FALSE))</f>
        <v>WOK</v>
      </c>
      <c r="E218" s="151">
        <v>3.2</v>
      </c>
      <c r="F218">
        <v>6</v>
      </c>
      <c r="G218" s="55" t="str">
        <f>IF(E218="","",IF(E218&lt;J217,"","CBP"))</f>
        <v>CBP</v>
      </c>
      <c r="H218" s="55" t="str">
        <f aca="true" t="shared" si="45" ref="H218:H223">IF(E218="","",IF(E218&lt;J$170,"","ESQ"))</f>
        <v>ESQ</v>
      </c>
      <c r="I218" t="s">
        <v>26</v>
      </c>
      <c r="J218" s="17">
        <v>2.85</v>
      </c>
    </row>
    <row r="219" spans="1:10" ht="12.75">
      <c r="A219" s="6">
        <v>2</v>
      </c>
      <c r="B219" s="138">
        <v>1</v>
      </c>
      <c r="C219" s="8" t="str">
        <f t="shared" si="43"/>
        <v>Izzy Deacon</v>
      </c>
      <c r="D219" s="8" t="str">
        <f t="shared" si="44"/>
        <v>BRK</v>
      </c>
      <c r="E219" s="151">
        <v>3</v>
      </c>
      <c r="F219">
        <v>5</v>
      </c>
      <c r="H219" s="55" t="str">
        <f t="shared" si="45"/>
        <v>ESQ</v>
      </c>
      <c r="J219" s="12"/>
    </row>
    <row r="220" spans="1:10" ht="12.75">
      <c r="A220" s="6">
        <v>2</v>
      </c>
      <c r="B220" s="145">
        <v>12</v>
      </c>
      <c r="C220" s="8" t="str">
        <f t="shared" si="43"/>
        <v>Emily Glanville</v>
      </c>
      <c r="D220" s="8" t="str">
        <f t="shared" si="44"/>
        <v>WOK</v>
      </c>
      <c r="E220" s="151">
        <v>3</v>
      </c>
      <c r="F220">
        <v>4</v>
      </c>
      <c r="H220" s="55" t="str">
        <f t="shared" si="45"/>
        <v>ESQ</v>
      </c>
      <c r="J220" s="12"/>
    </row>
    <row r="221" spans="1:10" ht="12.75">
      <c r="A221" s="6">
        <v>4</v>
      </c>
      <c r="B221" s="141">
        <v>2</v>
      </c>
      <c r="C221" s="8" t="str">
        <f t="shared" si="43"/>
        <v>C Janssen</v>
      </c>
      <c r="D221" s="8" t="str">
        <f t="shared" si="44"/>
        <v>BRK</v>
      </c>
      <c r="E221" s="151">
        <v>2.4</v>
      </c>
      <c r="F221">
        <v>3</v>
      </c>
      <c r="H221" s="55" t="str">
        <f t="shared" si="45"/>
        <v>ESQ</v>
      </c>
      <c r="J221" s="12"/>
    </row>
    <row r="222" spans="1:10" ht="12.75">
      <c r="A222" s="6">
        <v>5</v>
      </c>
      <c r="B222" s="132"/>
      <c r="C222" s="8">
        <f t="shared" si="43"/>
      </c>
      <c r="D222" s="8">
        <f t="shared" si="44"/>
      </c>
      <c r="E222" s="151"/>
      <c r="F222">
        <v>2</v>
      </c>
      <c r="H222" s="55">
        <f t="shared" si="45"/>
      </c>
      <c r="J222" s="12"/>
    </row>
    <row r="223" spans="1:10" ht="12.75">
      <c r="A223" s="6">
        <v>6</v>
      </c>
      <c r="B223" s="145"/>
      <c r="C223" s="8">
        <f t="shared" si="43"/>
      </c>
      <c r="D223" s="8">
        <f t="shared" si="44"/>
      </c>
      <c r="E223" s="151"/>
      <c r="F223">
        <v>1</v>
      </c>
      <c r="H223" s="55">
        <f t="shared" si="45"/>
      </c>
      <c r="J223" s="12"/>
    </row>
  </sheetData>
  <sheetProtection selectLockedCells="1"/>
  <printOptions/>
  <pageMargins left="0" right="0" top="1.4566929133858268" bottom="0" header="0.5118110236220472" footer="0.5118110236220472"/>
  <pageSetup horizontalDpi="300" verticalDpi="300" orientation="landscape" paperSize="9" r:id="rId2"/>
  <headerFooter alignWithMargins="0">
    <oddHeader>&amp;L&amp;G&amp;CBerkshire Schools Track &amp; &amp; Field Championships - June 12 2010, Palmer Park
Senior Girls (U19) Full Results</oddHeader>
  </headerFooter>
  <rowBreaks count="4" manualBreakCount="4">
    <brk id="37" max="255" man="1"/>
    <brk id="67" max="255" man="1"/>
    <brk id="134" max="255" man="1"/>
    <brk id="166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B22"/>
  <sheetViews>
    <sheetView zoomScalePageLayoutView="0" workbookViewId="0" topLeftCell="A4">
      <selection activeCell="V20" sqref="A1:V20"/>
    </sheetView>
  </sheetViews>
  <sheetFormatPr defaultColWidth="9.140625" defaultRowHeight="12.75"/>
  <cols>
    <col min="1" max="1" width="5.140625" style="27" customWidth="1"/>
    <col min="2" max="2" width="5.421875" style="27" bestFit="1" customWidth="1"/>
    <col min="3" max="3" width="5.421875" style="27" customWidth="1"/>
    <col min="4" max="4" width="5.421875" style="27" bestFit="1" customWidth="1"/>
    <col min="5" max="5" width="8.8515625" style="27" customWidth="1"/>
    <col min="6" max="6" width="3.57421875" style="27" customWidth="1"/>
    <col min="7" max="7" width="5.28125" style="27" customWidth="1"/>
    <col min="8" max="8" width="8.8515625" style="27" customWidth="1"/>
    <col min="9" max="9" width="3.140625" style="27" customWidth="1"/>
    <col min="10" max="10" width="5.421875" style="27" customWidth="1"/>
    <col min="11" max="11" width="7.8515625" style="27" customWidth="1"/>
    <col min="12" max="12" width="3.28125" style="27" customWidth="1"/>
    <col min="13" max="13" width="5.28125" style="27" customWidth="1"/>
    <col min="14" max="14" width="8.8515625" style="27" customWidth="1"/>
    <col min="15" max="15" width="3.00390625" style="27" customWidth="1"/>
    <col min="16" max="17" width="5.7109375" style="27" customWidth="1"/>
    <col min="18" max="18" width="4.421875" style="27" customWidth="1"/>
    <col min="19" max="19" width="5.421875" style="27" customWidth="1"/>
    <col min="20" max="20" width="6.00390625" style="27" customWidth="1"/>
    <col min="21" max="21" width="3.7109375" style="27" customWidth="1"/>
    <col min="22" max="22" width="5.421875" style="29" customWidth="1"/>
    <col min="23" max="23" width="3.140625" style="27" customWidth="1"/>
    <col min="24" max="24" width="3.7109375" style="27" customWidth="1"/>
    <col min="25" max="25" width="3.8515625" style="27" customWidth="1"/>
    <col min="26" max="26" width="3.7109375" style="27" customWidth="1"/>
    <col min="27" max="27" width="4.00390625" style="27" customWidth="1"/>
    <col min="28" max="28" width="3.140625" style="27" customWidth="1"/>
  </cols>
  <sheetData>
    <row r="1" spans="1:23" ht="20.25">
      <c r="A1" s="25" t="s">
        <v>128</v>
      </c>
      <c r="B1" s="26"/>
      <c r="C1" s="26"/>
      <c r="D1" s="26"/>
      <c r="G1" s="28"/>
      <c r="V1" s="37"/>
      <c r="W1" s="124" t="s">
        <v>17</v>
      </c>
    </row>
    <row r="2" spans="1:28" s="14" customFormat="1" ht="13.5">
      <c r="A2" s="30" t="s">
        <v>15</v>
      </c>
      <c r="B2" s="31" t="s">
        <v>6</v>
      </c>
      <c r="C2" s="31" t="s">
        <v>7</v>
      </c>
      <c r="D2" s="31" t="s">
        <v>8</v>
      </c>
      <c r="E2" s="32" t="s">
        <v>9</v>
      </c>
      <c r="F2" s="30"/>
      <c r="G2" s="32"/>
      <c r="H2" s="32" t="s">
        <v>10</v>
      </c>
      <c r="I2" s="30"/>
      <c r="J2" s="30"/>
      <c r="K2" s="30" t="s">
        <v>11</v>
      </c>
      <c r="L2" s="30"/>
      <c r="M2" s="30"/>
      <c r="N2" s="32" t="s">
        <v>12</v>
      </c>
      <c r="O2" s="30"/>
      <c r="P2" s="32"/>
      <c r="Q2" s="32" t="s">
        <v>13</v>
      </c>
      <c r="R2" s="30"/>
      <c r="S2" s="30"/>
      <c r="T2" s="30" t="s">
        <v>14</v>
      </c>
      <c r="U2" s="30"/>
      <c r="V2" s="123"/>
      <c r="W2" s="125" t="s">
        <v>16</v>
      </c>
      <c r="X2" s="33" t="s">
        <v>18</v>
      </c>
      <c r="Y2" s="33" t="s">
        <v>19</v>
      </c>
      <c r="Z2" s="33" t="s">
        <v>20</v>
      </c>
      <c r="AA2" s="33" t="s">
        <v>21</v>
      </c>
      <c r="AB2" s="33" t="s">
        <v>22</v>
      </c>
    </row>
    <row r="3" spans="1:28" ht="19.5" customHeight="1">
      <c r="A3" s="33" t="s">
        <v>65</v>
      </c>
      <c r="B3" s="34">
        <v>11.2</v>
      </c>
      <c r="C3" s="34">
        <v>12.5</v>
      </c>
      <c r="D3" s="34">
        <v>12.2</v>
      </c>
      <c r="E3" s="48" t="str">
        <f>sg!$C15</f>
        <v>Louisa Snape</v>
      </c>
      <c r="F3" s="48" t="str">
        <f>sg!$D15</f>
        <v>W&amp;M</v>
      </c>
      <c r="G3" s="48">
        <f>sg!$E15</f>
        <v>13.5</v>
      </c>
      <c r="H3" s="48">
        <f>sg!$C16</f>
      </c>
      <c r="I3" s="48">
        <f>sg!$D16</f>
      </c>
      <c r="J3" s="48">
        <f>sg!$E16</f>
        <v>0</v>
      </c>
      <c r="K3" s="48">
        <f>sg!$C17</f>
      </c>
      <c r="L3" s="48">
        <f>sg!$D17</f>
      </c>
      <c r="M3" s="48">
        <f>sg!$E17</f>
        <v>0</v>
      </c>
      <c r="N3" s="48">
        <f>sg!$C18</f>
      </c>
      <c r="O3" s="48">
        <f>sg!$D18</f>
      </c>
      <c r="P3" s="48">
        <f>sg!$E18</f>
        <v>0</v>
      </c>
      <c r="Q3" s="48">
        <f>sg!$C19</f>
      </c>
      <c r="R3" s="48">
        <f>sg!$D19</f>
      </c>
      <c r="S3" s="48">
        <f>sg!$E19</f>
        <v>0</v>
      </c>
      <c r="T3" s="48">
        <f>sg!$C20</f>
      </c>
      <c r="U3" s="48">
        <f>sg!$D20</f>
      </c>
      <c r="V3" s="48">
        <f>sg!$E20</f>
        <v>0</v>
      </c>
      <c r="W3" s="125">
        <f>IF($F3="wb",6,0)+IF($I3="wb",5,0)+IF($L3="wb",4,0)+IF($O3="wb",3,0)+IF($R3="wb",2,0)+IF($U3="wb",1,0)</f>
        <v>0</v>
      </c>
      <c r="X3" s="33">
        <f>IF($F3="rdg",6,0)+IF($I3="rdg",5,0)+IF($L3="rdg",4,0)+IF($O3="rdg",3,0)+IF($R3="rdg",2,0)+IF($U3="rdg",1,0)</f>
        <v>0</v>
      </c>
      <c r="Y3" s="33">
        <f>IF($F3="wok",6,0)+IF($I3="wok",5,0)+IF($L3="wok",4,0)+IF($O3="wok",3,0)+IF($R3="wok",2,0)+IF($U3="wok",1,0)</f>
        <v>0</v>
      </c>
      <c r="Z3" s="33">
        <f>IF($F3="brk",6,0)+IF($I3="brk",5,0)+IF($L3="brk",4,0)+IF($O3="brk",3,0)+IF($R3="brk",2,0)+IF($U3="brk",1,0)</f>
        <v>0</v>
      </c>
      <c r="AA3" s="33">
        <f>IF($F3="w&amp;m",6,0)+IF($I3="w&amp;m",5,0)+IF($L3="w&amp;m",4,0)+IF($O3="w&amp;m",3,0)+IF($R3="w&amp;m",2,0)+IF($U3="w&amp;m",1,0)</f>
        <v>6</v>
      </c>
      <c r="AB3" s="33">
        <f>IF($F3="sl",6,0)+IF($I3="sl",5,0)+IF($L3="sl",4,0)+IF($O3="sl",3,0)+IF($R3="sl",2,0)+IF($U3="sl",1,0)</f>
        <v>0</v>
      </c>
    </row>
    <row r="4" spans="1:28" ht="19.5" customHeight="1">
      <c r="A4" s="33" t="s">
        <v>5</v>
      </c>
      <c r="B4" s="34">
        <v>24.6</v>
      </c>
      <c r="C4" s="34">
        <v>25.8</v>
      </c>
      <c r="D4" s="34">
        <v>25</v>
      </c>
      <c r="E4" s="48">
        <f>sg!$C61</f>
      </c>
      <c r="F4" s="48">
        <f>sg!$D61</f>
      </c>
      <c r="G4" s="48">
        <f>sg!$E61</f>
        <v>0</v>
      </c>
      <c r="H4" s="48">
        <f>sg!$C62</f>
      </c>
      <c r="I4" s="48">
        <f>sg!$D62</f>
      </c>
      <c r="J4" s="48">
        <f>sg!$E62</f>
        <v>0</v>
      </c>
      <c r="K4" s="48">
        <f>sg!$C63</f>
      </c>
      <c r="L4" s="48">
        <f>sg!$D63</f>
      </c>
      <c r="M4" s="48">
        <f>sg!$E63</f>
        <v>0</v>
      </c>
      <c r="N4" s="48">
        <f>sg!$C64</f>
      </c>
      <c r="O4" s="48">
        <f>sg!$D64</f>
      </c>
      <c r="P4" s="48">
        <f>sg!$E64</f>
        <v>0</v>
      </c>
      <c r="Q4" s="48">
        <f>sg!$C65</f>
      </c>
      <c r="R4" s="48">
        <f>sg!$D65</f>
      </c>
      <c r="S4" s="48">
        <f>sg!$E65</f>
        <v>0</v>
      </c>
      <c r="T4" s="48">
        <f>sg!$C66</f>
      </c>
      <c r="U4" s="48">
        <f>sg!$D66</f>
      </c>
      <c r="V4" s="48">
        <f>sg!$E66</f>
        <v>0</v>
      </c>
      <c r="W4" s="125">
        <f aca="true" t="shared" si="0" ref="W4:W20">IF($F4="wb",6,0)+IF($I4="wb",5,0)+IF($L4="wb",4,0)+IF($O4="wb",3,0)+IF($R4="wb",2,0)+IF($U4="wb",1,0)</f>
        <v>0</v>
      </c>
      <c r="X4" s="33">
        <f aca="true" t="shared" si="1" ref="X4:X20">IF($F4="rdg",6,0)+IF($I4="rdg",5,0)+IF($L4="rdg",4,0)+IF($O4="rdg",3,0)+IF($R4="rdg",2,0)+IF($U4="rdg",1,0)</f>
        <v>0</v>
      </c>
      <c r="Y4" s="33">
        <f aca="true" t="shared" si="2" ref="Y4:Y19">IF($F4="wok",6,0)+IF($I4="wok",5,0)+IF($L4="wok",4,0)+IF($O4="wok",3,0)+IF($R4="wok",2,0)+IF($U4="wok",1,0)</f>
        <v>0</v>
      </c>
      <c r="Z4" s="33">
        <f aca="true" t="shared" si="3" ref="Z4:Z20">IF($F4="brk",6,0)+IF($I4="brk",5,0)+IF($L4="brk",4,0)+IF($O4="brk",3,0)+IF($R4="brk",2,0)+IF($U4="brk",1,0)</f>
        <v>0</v>
      </c>
      <c r="AA4" s="33">
        <f aca="true" t="shared" si="4" ref="AA4:AA20">IF($F4="w&amp;m",6,0)+IF($I4="w&amp;m",5,0)+IF($L4="w&amp;m",4,0)+IF($O4="w&amp;m",3,0)+IF($R4="w&amp;m",2,0)+IF($U4="w&amp;m",1,0)</f>
        <v>0</v>
      </c>
      <c r="AB4" s="33">
        <f aca="true" t="shared" si="5" ref="AB4:AB20">IF($F4="sl",6,0)+IF($I4="sl",5,0)+IF($L4="sl",4,0)+IF($O4="sl",3,0)+IF($R4="sl",2,0)+IF($U4="sl",1,0)</f>
        <v>0</v>
      </c>
    </row>
    <row r="5" spans="1:28" ht="19.5" customHeight="1">
      <c r="A5" s="33" t="s">
        <v>76</v>
      </c>
      <c r="B5" s="34">
        <v>55.8</v>
      </c>
      <c r="C5" s="34">
        <v>58.8</v>
      </c>
      <c r="D5" s="34">
        <v>57</v>
      </c>
      <c r="E5" s="48" t="str">
        <f>sg!$C51</f>
        <v>Phoebe Fenwick</v>
      </c>
      <c r="F5" s="48" t="str">
        <f>sg!$D51</f>
        <v>WOK</v>
      </c>
      <c r="G5" s="320">
        <f>sg!$E51</f>
        <v>57.8</v>
      </c>
      <c r="H5" s="48">
        <f>sg!$C52</f>
      </c>
      <c r="I5" s="48">
        <f>sg!$D52</f>
      </c>
      <c r="J5" s="48">
        <f>sg!$E52</f>
        <v>0</v>
      </c>
      <c r="K5" s="48">
        <f>sg!$C53</f>
      </c>
      <c r="L5" s="48">
        <f>sg!$D53</f>
      </c>
      <c r="M5" s="48">
        <f>sg!$E53</f>
        <v>0</v>
      </c>
      <c r="N5" s="48">
        <f>sg!$C54</f>
      </c>
      <c r="O5" s="48">
        <f>sg!$D54</f>
      </c>
      <c r="P5" s="48">
        <f>sg!$E54</f>
        <v>0</v>
      </c>
      <c r="Q5" s="48">
        <f>sg!$C55</f>
      </c>
      <c r="R5" s="48">
        <f>sg!$D55</f>
      </c>
      <c r="S5" s="48">
        <f>sg!$E55</f>
        <v>0</v>
      </c>
      <c r="T5" s="48">
        <f>sg!$C56</f>
      </c>
      <c r="U5" s="48">
        <f>sg!$D56</f>
      </c>
      <c r="V5" s="48">
        <f>sg!$E56</f>
        <v>0</v>
      </c>
      <c r="W5" s="125">
        <f t="shared" si="0"/>
        <v>0</v>
      </c>
      <c r="X5" s="33">
        <f t="shared" si="1"/>
        <v>0</v>
      </c>
      <c r="Y5" s="33">
        <f t="shared" si="2"/>
        <v>6</v>
      </c>
      <c r="Z5" s="33">
        <f t="shared" si="3"/>
        <v>0</v>
      </c>
      <c r="AA5" s="33">
        <f t="shared" si="4"/>
        <v>0</v>
      </c>
      <c r="AB5" s="33">
        <f t="shared" si="5"/>
        <v>0</v>
      </c>
    </row>
    <row r="6" spans="1:28" ht="19.5" customHeight="1">
      <c r="A6" s="33" t="s">
        <v>66</v>
      </c>
      <c r="B6" s="56">
        <v>0.001537037037037037</v>
      </c>
      <c r="C6" s="56">
        <v>0.0015625</v>
      </c>
      <c r="D6" s="56">
        <v>0.0015277777777777779</v>
      </c>
      <c r="E6" s="48" t="str">
        <f>sg!$C25</f>
        <v>Charlotte Harris</v>
      </c>
      <c r="F6" s="48" t="str">
        <f>sg!$D25</f>
        <v>SL</v>
      </c>
      <c r="G6" s="50">
        <f>sg!$E25</f>
        <v>0.0016435185185185183</v>
      </c>
      <c r="H6" s="48">
        <f>sg!$C26</f>
      </c>
      <c r="I6" s="48">
        <f>sg!$D26</f>
      </c>
      <c r="J6" s="50">
        <f>sg!$E26</f>
        <v>0</v>
      </c>
      <c r="K6" s="48">
        <f>sg!$C27</f>
      </c>
      <c r="L6" s="48">
        <f>sg!$D27</f>
      </c>
      <c r="M6" s="50">
        <f>sg!$E27</f>
        <v>0</v>
      </c>
      <c r="N6" s="48">
        <f>sg!$C28</f>
      </c>
      <c r="O6" s="48">
        <f>sg!$D28</f>
      </c>
      <c r="P6" s="50">
        <f>sg!$E28</f>
        <v>0</v>
      </c>
      <c r="Q6" s="48">
        <f>sg!$C29</f>
      </c>
      <c r="R6" s="48">
        <f>sg!$D29</f>
      </c>
      <c r="S6" s="50">
        <f>sg!$E29</f>
        <v>0</v>
      </c>
      <c r="T6" s="48">
        <f>sg!$C30</f>
      </c>
      <c r="U6" s="48">
        <f>sg!$D30</f>
      </c>
      <c r="V6" s="50">
        <f>sg!$E30</f>
        <v>0</v>
      </c>
      <c r="W6" s="125">
        <f t="shared" si="0"/>
        <v>0</v>
      </c>
      <c r="X6" s="33">
        <f t="shared" si="1"/>
        <v>0</v>
      </c>
      <c r="Y6" s="33">
        <f t="shared" si="2"/>
        <v>0</v>
      </c>
      <c r="Z6" s="33">
        <f t="shared" si="3"/>
        <v>0</v>
      </c>
      <c r="AA6" s="33">
        <f t="shared" si="4"/>
        <v>0</v>
      </c>
      <c r="AB6" s="33">
        <f t="shared" si="5"/>
        <v>6</v>
      </c>
    </row>
    <row r="7" spans="1:28" ht="19.5" customHeight="1">
      <c r="A7" s="33" t="s">
        <v>67</v>
      </c>
      <c r="B7" s="56">
        <v>0.003172453703703704</v>
      </c>
      <c r="C7" s="56">
        <v>0.0032870370370370367</v>
      </c>
      <c r="D7" s="56">
        <v>0.003194444444444444</v>
      </c>
      <c r="E7" s="48">
        <f>sg!$C71</f>
      </c>
      <c r="F7" s="48">
        <f>sg!$D71</f>
      </c>
      <c r="G7" s="50">
        <f>sg!$E71</f>
        <v>0</v>
      </c>
      <c r="H7" s="48">
        <f>sg!$C72</f>
      </c>
      <c r="I7" s="48">
        <f>sg!$D72</f>
      </c>
      <c r="J7" s="50">
        <f>sg!$E72</f>
        <v>0</v>
      </c>
      <c r="K7" s="48">
        <f>sg!$C73</f>
      </c>
      <c r="L7" s="48">
        <f>sg!$D73</f>
      </c>
      <c r="M7" s="50">
        <f>sg!$E73</f>
        <v>0</v>
      </c>
      <c r="N7" s="48">
        <f>sg!$C74</f>
      </c>
      <c r="O7" s="48">
        <f>sg!$D74</f>
      </c>
      <c r="P7" s="50">
        <f>sg!$E74</f>
        <v>0</v>
      </c>
      <c r="Q7" s="48">
        <f>sg!$C75</f>
      </c>
      <c r="R7" s="48">
        <f>sg!$D75</f>
      </c>
      <c r="S7" s="50">
        <f>sg!$E75</f>
        <v>0</v>
      </c>
      <c r="T7" s="48">
        <f>sg!$C76</f>
      </c>
      <c r="U7" s="48">
        <f>sg!$D76</f>
      </c>
      <c r="V7" s="50">
        <f>sg!$E76</f>
        <v>0</v>
      </c>
      <c r="W7" s="125">
        <f t="shared" si="0"/>
        <v>0</v>
      </c>
      <c r="X7" s="33">
        <f t="shared" si="1"/>
        <v>0</v>
      </c>
      <c r="Y7" s="33">
        <f t="shared" si="2"/>
        <v>0</v>
      </c>
      <c r="Z7" s="33">
        <f t="shared" si="3"/>
        <v>0</v>
      </c>
      <c r="AA7" s="33">
        <f t="shared" si="4"/>
        <v>0</v>
      </c>
      <c r="AB7" s="33">
        <f t="shared" si="5"/>
        <v>0</v>
      </c>
    </row>
    <row r="8" spans="1:28" ht="19.5" customHeight="1">
      <c r="A8" s="33" t="s">
        <v>82</v>
      </c>
      <c r="B8" s="56">
        <v>0.0067708333333333336</v>
      </c>
      <c r="C8" s="56">
        <v>0.007152777777777779</v>
      </c>
      <c r="D8" s="56">
        <v>0.007013888888888889</v>
      </c>
      <c r="E8" s="48" t="str">
        <f>sg!$C94</f>
        <v>Kirsty Walker</v>
      </c>
      <c r="F8" s="48" t="str">
        <f>sg!$D94</f>
        <v>RDG</v>
      </c>
      <c r="G8" s="50">
        <f>sg!$E94</f>
        <v>0.007172453703703704</v>
      </c>
      <c r="H8" s="48" t="str">
        <f>sg!$C95</f>
        <v>E Faulkner</v>
      </c>
      <c r="I8" s="48" t="str">
        <f>sg!$D95</f>
        <v>WB</v>
      </c>
      <c r="J8" s="50">
        <f>sg!$E95</f>
        <v>0.008019675925925927</v>
      </c>
      <c r="K8" s="48">
        <f>sg!$C96</f>
      </c>
      <c r="L8" s="48">
        <f>sg!$D96</f>
      </c>
      <c r="M8" s="50">
        <f>sg!$E96</f>
        <v>0</v>
      </c>
      <c r="N8" s="48">
        <f>sg!$C97</f>
      </c>
      <c r="O8" s="48">
        <f>sg!$D97</f>
      </c>
      <c r="P8" s="50">
        <f>sg!$E97</f>
        <v>0</v>
      </c>
      <c r="Q8" s="48">
        <f>sg!$C98</f>
      </c>
      <c r="R8" s="48">
        <f>sg!$D98</f>
      </c>
      <c r="S8" s="50">
        <f>sg!$E98</f>
        <v>0</v>
      </c>
      <c r="T8" s="48">
        <f>sg!$C99</f>
      </c>
      <c r="U8" s="48">
        <f>sg!$D99</f>
      </c>
      <c r="V8" s="50">
        <f>sg!$E99</f>
        <v>0</v>
      </c>
      <c r="W8" s="125">
        <f t="shared" si="0"/>
        <v>5</v>
      </c>
      <c r="X8" s="33">
        <f t="shared" si="1"/>
        <v>6</v>
      </c>
      <c r="Y8" s="33">
        <f t="shared" si="2"/>
        <v>0</v>
      </c>
      <c r="Z8" s="33">
        <f t="shared" si="3"/>
        <v>0</v>
      </c>
      <c r="AA8" s="33">
        <f t="shared" si="4"/>
        <v>0</v>
      </c>
      <c r="AB8" s="33">
        <f t="shared" si="5"/>
        <v>0</v>
      </c>
    </row>
    <row r="9" spans="1:28" ht="19.5" customHeight="1">
      <c r="A9" s="33" t="s">
        <v>84</v>
      </c>
      <c r="B9" s="34">
        <v>14.2</v>
      </c>
      <c r="C9" s="34">
        <v>15.2</v>
      </c>
      <c r="D9" s="34">
        <v>14.6</v>
      </c>
      <c r="E9" s="48" t="str">
        <f>sg!$C41</f>
        <v>Rachel Melbourne</v>
      </c>
      <c r="F9" s="48" t="str">
        <f>sg!$D41</f>
        <v>W&amp;M</v>
      </c>
      <c r="G9" s="48">
        <f>sg!$E41</f>
        <v>18</v>
      </c>
      <c r="H9" s="48">
        <f>sg!$C42</f>
      </c>
      <c r="I9" s="48">
        <f>sg!$D42</f>
      </c>
      <c r="J9" s="48">
        <f>sg!$E42</f>
        <v>0</v>
      </c>
      <c r="K9" s="48">
        <f>sg!$C43</f>
      </c>
      <c r="L9" s="48">
        <f>sg!$D43</f>
      </c>
      <c r="M9" s="48">
        <f>sg!$E43</f>
        <v>0</v>
      </c>
      <c r="N9" s="48">
        <f>sg!$C44</f>
      </c>
      <c r="O9" s="48">
        <f>sg!$D44</f>
      </c>
      <c r="P9" s="48">
        <f>sg!$E44</f>
        <v>0</v>
      </c>
      <c r="Q9" s="48">
        <f>sg!$C45</f>
      </c>
      <c r="R9" s="48">
        <f>sg!$D45</f>
      </c>
      <c r="S9" s="48">
        <f>sg!$E45</f>
        <v>0</v>
      </c>
      <c r="T9" s="48">
        <f>sg!$C46</f>
      </c>
      <c r="U9" s="48">
        <f>sg!$D46</f>
      </c>
      <c r="V9" s="48">
        <f>sg!$E46</f>
        <v>0</v>
      </c>
      <c r="W9" s="125">
        <f t="shared" si="0"/>
        <v>0</v>
      </c>
      <c r="X9" s="33">
        <f t="shared" si="1"/>
        <v>0</v>
      </c>
      <c r="Y9" s="33">
        <f t="shared" si="2"/>
        <v>0</v>
      </c>
      <c r="Z9" s="33">
        <f t="shared" si="3"/>
        <v>0</v>
      </c>
      <c r="AA9" s="33">
        <f t="shared" si="4"/>
        <v>6</v>
      </c>
      <c r="AB9" s="33">
        <f t="shared" si="5"/>
        <v>0</v>
      </c>
    </row>
    <row r="10" spans="1:28" ht="19.5" customHeight="1">
      <c r="A10" s="33" t="s">
        <v>85</v>
      </c>
      <c r="B10" s="34">
        <v>62.1</v>
      </c>
      <c r="C10" s="34">
        <v>66</v>
      </c>
      <c r="D10" s="34">
        <v>64.5</v>
      </c>
      <c r="E10" s="48" t="str">
        <f>sg!$C5</f>
        <v>M Shaw</v>
      </c>
      <c r="F10" s="48" t="str">
        <f>sg!$D5</f>
        <v>WB</v>
      </c>
      <c r="G10" s="48">
        <f>sg!$E5</f>
        <v>68.4</v>
      </c>
      <c r="H10" s="48">
        <f>sg!$C6</f>
      </c>
      <c r="I10" s="48">
        <f>sg!$D6</f>
      </c>
      <c r="J10" s="48">
        <f>sg!$E6</f>
        <v>0</v>
      </c>
      <c r="K10" s="48">
        <f>sg!$C7</f>
      </c>
      <c r="L10" s="48">
        <f>sg!$D7</f>
      </c>
      <c r="M10" s="48">
        <f>sg!$E7</f>
        <v>0</v>
      </c>
      <c r="N10" s="48">
        <f>sg!$C8</f>
      </c>
      <c r="O10" s="48">
        <f>sg!$D8</f>
      </c>
      <c r="P10" s="48">
        <f>sg!$E8</f>
        <v>0</v>
      </c>
      <c r="Q10" s="48">
        <f>sg!$C9</f>
      </c>
      <c r="R10" s="48">
        <f>sg!$D9</f>
      </c>
      <c r="S10" s="48">
        <f>sg!$E9</f>
        <v>0</v>
      </c>
      <c r="T10" s="48">
        <f>sg!$C10</f>
      </c>
      <c r="U10" s="48">
        <f>sg!$D10</f>
      </c>
      <c r="V10" s="48">
        <f>sg!$E10</f>
        <v>0</v>
      </c>
      <c r="W10" s="125">
        <f t="shared" si="0"/>
        <v>6</v>
      </c>
      <c r="X10" s="33">
        <f t="shared" si="1"/>
        <v>0</v>
      </c>
      <c r="Y10" s="33">
        <f t="shared" si="2"/>
        <v>0</v>
      </c>
      <c r="Z10" s="33">
        <f t="shared" si="3"/>
        <v>0</v>
      </c>
      <c r="AA10" s="33">
        <f t="shared" si="4"/>
        <v>0</v>
      </c>
      <c r="AB10" s="33">
        <f t="shared" si="5"/>
        <v>0</v>
      </c>
    </row>
    <row r="11" spans="1:28" ht="19.5" customHeight="1">
      <c r="A11" s="33" t="s">
        <v>355</v>
      </c>
      <c r="B11" s="56">
        <v>0.003534722222222222</v>
      </c>
      <c r="C11" s="56">
        <v>0.0036805555555555554</v>
      </c>
      <c r="D11" s="56">
        <v>0.003587962962962963</v>
      </c>
      <c r="E11" s="48" t="str">
        <f>sg!$C86</f>
        <v>Alex Barbour</v>
      </c>
      <c r="F11" s="48" t="str">
        <f>sg!D86</f>
        <v>WOK</v>
      </c>
      <c r="G11" s="326">
        <f>sg!$E86</f>
        <v>0.0034652777777777776</v>
      </c>
      <c r="H11" s="48" t="str">
        <f>sg!C87</f>
        <v>Elena Carey</v>
      </c>
      <c r="I11" s="48" t="str">
        <f>sg!D87</f>
        <v>BRK</v>
      </c>
      <c r="J11" s="326">
        <f>sg!E87</f>
        <v>0.003577546296296296</v>
      </c>
      <c r="K11" s="48"/>
      <c r="L11" s="48"/>
      <c r="M11" s="50"/>
      <c r="N11" s="48" t="str">
        <f>sg!C89</f>
        <v>Rebecca Pope</v>
      </c>
      <c r="O11" s="48" t="str">
        <f>sg!D89</f>
        <v>W&amp;M</v>
      </c>
      <c r="P11" s="50">
        <f>sg!E89</f>
        <v>0.004091435185185185</v>
      </c>
      <c r="Q11" s="48"/>
      <c r="R11" s="48"/>
      <c r="S11" s="50"/>
      <c r="T11" s="48"/>
      <c r="U11" s="48"/>
      <c r="V11" s="50"/>
      <c r="W11" s="125">
        <f t="shared" si="0"/>
        <v>0</v>
      </c>
      <c r="X11" s="33">
        <f t="shared" si="1"/>
        <v>0</v>
      </c>
      <c r="Y11" s="33">
        <f t="shared" si="2"/>
        <v>6</v>
      </c>
      <c r="Z11" s="33">
        <f t="shared" si="3"/>
        <v>5</v>
      </c>
      <c r="AA11" s="33">
        <v>4</v>
      </c>
      <c r="AB11" s="33">
        <f t="shared" si="5"/>
        <v>0</v>
      </c>
    </row>
    <row r="12" spans="1:28" ht="19.5" customHeight="1">
      <c r="A12" s="33"/>
      <c r="B12" s="34"/>
      <c r="C12" s="35"/>
      <c r="D12" s="3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26"/>
      <c r="W12" s="125"/>
      <c r="X12" s="33"/>
      <c r="Y12" s="33"/>
      <c r="Z12" s="33"/>
      <c r="AA12" s="33"/>
      <c r="AB12" s="33"/>
    </row>
    <row r="13" spans="1:28" ht="19.5" customHeight="1">
      <c r="A13" s="33" t="s">
        <v>72</v>
      </c>
      <c r="B13" s="35">
        <v>1.75</v>
      </c>
      <c r="C13" s="35">
        <v>1.66</v>
      </c>
      <c r="D13" s="35">
        <v>1.72</v>
      </c>
      <c r="E13" s="48" t="str">
        <f>sg!$C170</f>
        <v>E Houston</v>
      </c>
      <c r="F13" s="48" t="str">
        <f>sg!$D170</f>
        <v>WB</v>
      </c>
      <c r="G13" s="36">
        <f>sg!$E170</f>
        <v>1.6</v>
      </c>
      <c r="H13" s="36" t="str">
        <f>sg!$C171</f>
        <v>Molly Bates</v>
      </c>
      <c r="I13" s="36" t="str">
        <f>sg!$D171</f>
        <v>WOK</v>
      </c>
      <c r="J13" s="36">
        <f>sg!$E171</f>
        <v>1.55</v>
      </c>
      <c r="K13" s="36">
        <f>sg!$C172</f>
      </c>
      <c r="L13" s="36">
        <f>sg!$D172</f>
      </c>
      <c r="M13" s="36">
        <f>sg!$E172</f>
        <v>0</v>
      </c>
      <c r="N13" s="36">
        <f>sg!$C173</f>
      </c>
      <c r="O13" s="36">
        <f>sg!$D173</f>
      </c>
      <c r="P13" s="36">
        <f>sg!$E173</f>
        <v>0</v>
      </c>
      <c r="Q13" s="36">
        <f>sg!$C174</f>
      </c>
      <c r="R13" s="36">
        <f>sg!$D174</f>
      </c>
      <c r="S13" s="36">
        <f>sg!$E174</f>
        <v>0</v>
      </c>
      <c r="T13" s="36">
        <f>sg!$C175</f>
      </c>
      <c r="U13" s="36">
        <f>sg!$D175</f>
      </c>
      <c r="V13" s="36">
        <f>sg!$E175</f>
        <v>0</v>
      </c>
      <c r="W13" s="125">
        <f t="shared" si="0"/>
        <v>6</v>
      </c>
      <c r="X13" s="33">
        <f t="shared" si="1"/>
        <v>0</v>
      </c>
      <c r="Y13" s="33">
        <f t="shared" si="2"/>
        <v>5</v>
      </c>
      <c r="Z13" s="33">
        <f t="shared" si="3"/>
        <v>0</v>
      </c>
      <c r="AA13" s="33">
        <f t="shared" si="4"/>
        <v>0</v>
      </c>
      <c r="AB13" s="33">
        <f t="shared" si="5"/>
        <v>0</v>
      </c>
    </row>
    <row r="14" spans="1:28" ht="19.5" customHeight="1">
      <c r="A14" s="33" t="s">
        <v>69</v>
      </c>
      <c r="B14" s="35">
        <v>5.89</v>
      </c>
      <c r="C14" s="35">
        <v>5.4</v>
      </c>
      <c r="D14" s="35">
        <v>5.6</v>
      </c>
      <c r="E14" s="36" t="str">
        <f>sg!$C122</f>
        <v>Hannah Jones</v>
      </c>
      <c r="F14" s="36" t="str">
        <f>sg!$D122</f>
        <v>W&amp;M</v>
      </c>
      <c r="G14" s="36">
        <f>sg!$E122</f>
        <v>5.16</v>
      </c>
      <c r="H14" s="36">
        <f>sg!$C123</f>
      </c>
      <c r="I14" s="36">
        <f>sg!$D123</f>
      </c>
      <c r="J14" s="36">
        <f>sg!$E123</f>
        <v>0</v>
      </c>
      <c r="K14" s="36">
        <f>sg!$C124</f>
      </c>
      <c r="L14" s="36">
        <f>sg!$D124</f>
      </c>
      <c r="M14" s="36">
        <f>sg!$E124</f>
        <v>0</v>
      </c>
      <c r="N14" s="36">
        <f>sg!$C125</f>
      </c>
      <c r="O14" s="36">
        <f>sg!$D125</f>
      </c>
      <c r="P14" s="36">
        <f>sg!$E125</f>
        <v>0</v>
      </c>
      <c r="Q14" s="36">
        <f>sg!$C126</f>
      </c>
      <c r="R14" s="36">
        <f>sg!$D126</f>
      </c>
      <c r="S14" s="36">
        <f>sg!$E126</f>
        <v>0</v>
      </c>
      <c r="T14" s="36">
        <f>sg!$C127</f>
      </c>
      <c r="U14" s="36">
        <f>sg!$D127</f>
      </c>
      <c r="V14" s="36">
        <f>sg!$E127</f>
        <v>0</v>
      </c>
      <c r="W14" s="125">
        <f t="shared" si="0"/>
        <v>0</v>
      </c>
      <c r="X14" s="33">
        <f t="shared" si="1"/>
        <v>0</v>
      </c>
      <c r="Y14" s="33">
        <f t="shared" si="2"/>
        <v>0</v>
      </c>
      <c r="Z14" s="33">
        <f t="shared" si="3"/>
        <v>0</v>
      </c>
      <c r="AA14" s="33">
        <f t="shared" si="4"/>
        <v>6</v>
      </c>
      <c r="AB14" s="33">
        <f t="shared" si="5"/>
        <v>0</v>
      </c>
    </row>
    <row r="15" spans="1:28" ht="19.5" customHeight="1">
      <c r="A15" s="33" t="s">
        <v>80</v>
      </c>
      <c r="B15" s="35">
        <v>11.73</v>
      </c>
      <c r="C15" s="35">
        <v>11.1</v>
      </c>
      <c r="D15" s="35">
        <v>11.4</v>
      </c>
      <c r="E15" s="36" t="str">
        <f>sg!$C202</f>
        <v>P Young</v>
      </c>
      <c r="F15" s="36" t="str">
        <f>sg!$D202</f>
        <v>WB</v>
      </c>
      <c r="G15" s="36">
        <f>sg!$E202</f>
        <v>9.73</v>
      </c>
      <c r="H15" s="36">
        <f>sg!$C203</f>
      </c>
      <c r="I15" s="36">
        <f>sg!$D203</f>
      </c>
      <c r="J15" s="36">
        <f>sg!$E203</f>
        <v>0</v>
      </c>
      <c r="K15" s="36">
        <f>sg!$C204</f>
      </c>
      <c r="L15" s="36">
        <f>sg!$D204</f>
      </c>
      <c r="M15" s="36">
        <f>sg!$E204</f>
        <v>0</v>
      </c>
      <c r="N15" s="36">
        <f>sg!$C205</f>
      </c>
      <c r="O15" s="36">
        <f>sg!$D205</f>
      </c>
      <c r="P15" s="36">
        <f>sg!$E205</f>
        <v>0</v>
      </c>
      <c r="Q15" s="36">
        <f>sg!$C206</f>
      </c>
      <c r="R15" s="36">
        <f>sg!$D206</f>
      </c>
      <c r="S15" s="36">
        <f>sg!$E206</f>
        <v>0</v>
      </c>
      <c r="T15" s="36">
        <f>sg!$C207</f>
      </c>
      <c r="U15" s="36">
        <f>sg!$D207</f>
      </c>
      <c r="V15" s="36">
        <f>sg!$E207</f>
        <v>0</v>
      </c>
      <c r="W15" s="125">
        <f t="shared" si="0"/>
        <v>6</v>
      </c>
      <c r="X15" s="33">
        <f t="shared" si="1"/>
        <v>0</v>
      </c>
      <c r="Y15" s="33">
        <f t="shared" si="2"/>
        <v>0</v>
      </c>
      <c r="Z15" s="33">
        <f t="shared" si="3"/>
        <v>0</v>
      </c>
      <c r="AA15" s="33">
        <f t="shared" si="4"/>
        <v>0</v>
      </c>
      <c r="AB15" s="33">
        <f t="shared" si="5"/>
        <v>0</v>
      </c>
    </row>
    <row r="16" spans="1:28" ht="19.5" customHeight="1">
      <c r="A16" s="33" t="s">
        <v>78</v>
      </c>
      <c r="B16" s="35">
        <v>50.47</v>
      </c>
      <c r="C16" s="35">
        <v>41</v>
      </c>
      <c r="D16" s="35">
        <v>46</v>
      </c>
      <c r="E16" s="36" t="str">
        <f>sg!$C112</f>
        <v>Leah Runnacles</v>
      </c>
      <c r="F16" s="36" t="str">
        <f>sg!$D112</f>
        <v>BRK</v>
      </c>
      <c r="G16" s="318">
        <f>sg!$E112</f>
        <v>45.82</v>
      </c>
      <c r="H16" s="36">
        <f>sg!$C113</f>
      </c>
      <c r="I16" s="36">
        <f>sg!$D113</f>
      </c>
      <c r="J16" s="36">
        <f>sg!$E113</f>
        <v>0</v>
      </c>
      <c r="K16" s="36">
        <f>sg!$C114</f>
      </c>
      <c r="L16" s="36">
        <f>sg!$D114</f>
      </c>
      <c r="M16" s="36">
        <f>sg!$E114</f>
        <v>0</v>
      </c>
      <c r="N16" s="36">
        <f>sg!$C115</f>
      </c>
      <c r="O16" s="36">
        <f>sg!$D115</f>
      </c>
      <c r="P16" s="36">
        <f>sg!$E115</f>
        <v>0</v>
      </c>
      <c r="Q16" s="36">
        <f>sg!$C116</f>
      </c>
      <c r="R16" s="36">
        <f>sg!$D116</f>
      </c>
      <c r="S16" s="36">
        <f>sg!$E116</f>
        <v>0</v>
      </c>
      <c r="T16" s="36">
        <f>sg!$C117</f>
      </c>
      <c r="U16" s="36">
        <f>sg!$D117</f>
      </c>
      <c r="V16" s="36">
        <f>sg!$E117</f>
        <v>0</v>
      </c>
      <c r="W16" s="125">
        <f t="shared" si="0"/>
        <v>0</v>
      </c>
      <c r="X16" s="33">
        <f t="shared" si="1"/>
        <v>0</v>
      </c>
      <c r="Y16" s="33">
        <f t="shared" si="2"/>
        <v>0</v>
      </c>
      <c r="Z16" s="33">
        <f t="shared" si="3"/>
        <v>6</v>
      </c>
      <c r="AA16" s="33">
        <f t="shared" si="4"/>
        <v>0</v>
      </c>
      <c r="AB16" s="33">
        <f t="shared" si="5"/>
        <v>0</v>
      </c>
    </row>
    <row r="17" spans="1:28" ht="19.5" customHeight="1">
      <c r="A17" s="33" t="s">
        <v>70</v>
      </c>
      <c r="B17" s="35">
        <v>45.58</v>
      </c>
      <c r="C17" s="35">
        <v>36</v>
      </c>
      <c r="D17" s="35">
        <v>39</v>
      </c>
      <c r="E17" s="36" t="str">
        <f>sg!$C138</f>
        <v>Caitlin Stacey</v>
      </c>
      <c r="F17" s="36" t="str">
        <f>sg!$D138</f>
        <v>RDG</v>
      </c>
      <c r="G17" s="318">
        <f>sg!$E138</f>
        <v>38.18</v>
      </c>
      <c r="H17" s="36" t="str">
        <f>sg!$C139</f>
        <v>Jessica Williams</v>
      </c>
      <c r="I17" s="36" t="str">
        <f>sg!$D139</f>
        <v>W&amp;M</v>
      </c>
      <c r="J17" s="36">
        <f>sg!$E139</f>
        <v>32.93</v>
      </c>
      <c r="K17" s="36">
        <f>sg!$C140</f>
      </c>
      <c r="L17" s="36">
        <f>sg!$D140</f>
      </c>
      <c r="M17" s="36">
        <f>sg!$E140</f>
        <v>0</v>
      </c>
      <c r="N17" s="36">
        <f>sg!$C141</f>
      </c>
      <c r="O17" s="36">
        <f>sg!$D141</f>
      </c>
      <c r="P17" s="36">
        <f>sg!$E141</f>
        <v>0</v>
      </c>
      <c r="Q17" s="36">
        <f>sg!$C142</f>
      </c>
      <c r="R17" s="36">
        <f>sg!$D142</f>
      </c>
      <c r="S17" s="36">
        <f>sg!$E142</f>
        <v>0</v>
      </c>
      <c r="T17" s="36">
        <f>sg!$C143</f>
      </c>
      <c r="U17" s="36">
        <f>sg!$D143</f>
      </c>
      <c r="V17" s="36">
        <f>sg!$E143</f>
        <v>0</v>
      </c>
      <c r="W17" s="125">
        <f t="shared" si="0"/>
        <v>0</v>
      </c>
      <c r="X17" s="33">
        <f t="shared" si="1"/>
        <v>6</v>
      </c>
      <c r="Y17" s="33">
        <f t="shared" si="2"/>
        <v>0</v>
      </c>
      <c r="Z17" s="33">
        <f t="shared" si="3"/>
        <v>0</v>
      </c>
      <c r="AA17" s="33">
        <f t="shared" si="4"/>
        <v>5</v>
      </c>
      <c r="AB17" s="33">
        <f t="shared" si="5"/>
        <v>0</v>
      </c>
    </row>
    <row r="18" spans="1:28" ht="19.5" customHeight="1">
      <c r="A18" s="33" t="s">
        <v>73</v>
      </c>
      <c r="B18" s="35">
        <v>39.96</v>
      </c>
      <c r="C18" s="35">
        <v>37</v>
      </c>
      <c r="D18" s="35">
        <v>40</v>
      </c>
      <c r="E18" s="36" t="str">
        <f>sg!$C154</f>
        <v>Katie Holt</v>
      </c>
      <c r="F18" s="36" t="str">
        <f>sg!$D154</f>
        <v>WOK</v>
      </c>
      <c r="G18" s="36">
        <f>sg!$E154</f>
        <v>36.16</v>
      </c>
      <c r="H18" s="36">
        <f>sg!$C155</f>
      </c>
      <c r="I18" s="36">
        <f>sg!$D155</f>
      </c>
      <c r="J18" s="36">
        <f>sg!$E155</f>
        <v>0</v>
      </c>
      <c r="K18" s="36">
        <f>sg!$C156</f>
      </c>
      <c r="L18" s="36">
        <f>sg!$D156</f>
      </c>
      <c r="M18" s="36">
        <f>sg!$E156</f>
        <v>0</v>
      </c>
      <c r="N18" s="36">
        <f>sg!$C157</f>
      </c>
      <c r="O18" s="36">
        <f>sg!$D157</f>
      </c>
      <c r="P18" s="36">
        <f>sg!$E157</f>
        <v>0</v>
      </c>
      <c r="Q18" s="36">
        <f>sg!$C158</f>
      </c>
      <c r="R18" s="36">
        <f>sg!$D158</f>
      </c>
      <c r="S18" s="36">
        <f>sg!$E158</f>
        <v>0</v>
      </c>
      <c r="T18" s="36">
        <f>sg!$C159</f>
      </c>
      <c r="U18" s="36">
        <f>sg!$D159</f>
      </c>
      <c r="V18" s="36">
        <f>sg!$E159</f>
        <v>0</v>
      </c>
      <c r="W18" s="125">
        <f t="shared" si="0"/>
        <v>0</v>
      </c>
      <c r="X18" s="33">
        <f t="shared" si="1"/>
        <v>0</v>
      </c>
      <c r="Y18" s="33">
        <f t="shared" si="2"/>
        <v>6</v>
      </c>
      <c r="Z18" s="33">
        <f t="shared" si="3"/>
        <v>0</v>
      </c>
      <c r="AA18" s="33">
        <f t="shared" si="4"/>
        <v>0</v>
      </c>
      <c r="AB18" s="33">
        <f t="shared" si="5"/>
        <v>0</v>
      </c>
    </row>
    <row r="19" spans="1:28" ht="19.5" customHeight="1">
      <c r="A19" s="33" t="s">
        <v>71</v>
      </c>
      <c r="B19" s="35">
        <v>13.63</v>
      </c>
      <c r="C19" s="35">
        <v>10.5</v>
      </c>
      <c r="D19" s="35">
        <v>11.4</v>
      </c>
      <c r="E19" s="36" t="str">
        <f>sg!$C186</f>
        <v>Y Bryan</v>
      </c>
      <c r="F19" s="36" t="str">
        <f>sg!$D186</f>
        <v>BRK</v>
      </c>
      <c r="G19" s="36">
        <f>sg!$E186</f>
        <v>9.07</v>
      </c>
      <c r="H19" s="36">
        <f>sg!$C187</f>
      </c>
      <c r="I19" s="36">
        <f>sg!$D187</f>
      </c>
      <c r="J19" s="36">
        <f>sg!$E187</f>
        <v>0</v>
      </c>
      <c r="K19" s="36">
        <f>sg!$C188</f>
      </c>
      <c r="L19" s="36">
        <f>sg!$D188</f>
      </c>
      <c r="M19" s="36">
        <f>sg!$E188</f>
        <v>0</v>
      </c>
      <c r="N19" s="36">
        <f>sg!$C189</f>
      </c>
      <c r="O19" s="36">
        <f>sg!$D189</f>
      </c>
      <c r="P19" s="36">
        <f>sg!$E189</f>
        <v>0</v>
      </c>
      <c r="Q19" s="36">
        <f>sg!$C190</f>
      </c>
      <c r="R19" s="36">
        <f>sg!$D190</f>
      </c>
      <c r="S19" s="36">
        <f>sg!$E190</f>
        <v>0</v>
      </c>
      <c r="T19" s="36">
        <f>sg!$C191</f>
      </c>
      <c r="U19" s="36">
        <f>sg!$D191</f>
      </c>
      <c r="V19" s="36">
        <f>sg!$E191</f>
        <v>0</v>
      </c>
      <c r="W19" s="125">
        <f t="shared" si="0"/>
        <v>0</v>
      </c>
      <c r="X19" s="33">
        <f t="shared" si="1"/>
        <v>0</v>
      </c>
      <c r="Y19" s="33">
        <f t="shared" si="2"/>
        <v>0</v>
      </c>
      <c r="Z19" s="33">
        <f t="shared" si="3"/>
        <v>6</v>
      </c>
      <c r="AA19" s="33">
        <f t="shared" si="4"/>
        <v>0</v>
      </c>
      <c r="AB19" s="33">
        <f t="shared" si="5"/>
        <v>0</v>
      </c>
    </row>
    <row r="20" spans="1:28" ht="13.5">
      <c r="A20" s="33" t="s">
        <v>79</v>
      </c>
      <c r="B20" s="35">
        <v>2.7</v>
      </c>
      <c r="C20" s="35">
        <v>3.1</v>
      </c>
      <c r="D20" s="35">
        <v>3.4</v>
      </c>
      <c r="E20" s="36" t="str">
        <f>sg!$C218</f>
        <v>Emily McDonald</v>
      </c>
      <c r="F20" s="36" t="str">
        <f>sg!$D218</f>
        <v>WOK</v>
      </c>
      <c r="G20" s="318">
        <f>sg!$E218</f>
        <v>3.2</v>
      </c>
      <c r="H20" s="36" t="str">
        <f>sg!$C219</f>
        <v>Izzy Deacon</v>
      </c>
      <c r="I20" s="36" t="str">
        <f>sg!$D219</f>
        <v>BRK</v>
      </c>
      <c r="J20" s="36">
        <f>sg!$E219</f>
        <v>3</v>
      </c>
      <c r="K20" s="36" t="str">
        <f>sg!$C220</f>
        <v>Emily Glanville</v>
      </c>
      <c r="L20" s="36" t="str">
        <f>sg!$D220</f>
        <v>WOK</v>
      </c>
      <c r="M20" s="36">
        <f>sg!$E220</f>
        <v>3</v>
      </c>
      <c r="N20" s="36" t="str">
        <f>sg!$C221</f>
        <v>C Janssen</v>
      </c>
      <c r="O20" s="36" t="str">
        <f>sg!$D221</f>
        <v>BRK</v>
      </c>
      <c r="P20" s="36">
        <f>sg!$E221</f>
        <v>2.4</v>
      </c>
      <c r="Q20" s="36">
        <f>sg!$C222</f>
      </c>
      <c r="R20" s="36">
        <f>sg!$D222</f>
      </c>
      <c r="S20" s="36">
        <f>sg!$E222</f>
        <v>0</v>
      </c>
      <c r="T20" s="36">
        <f>sg!$C223</f>
      </c>
      <c r="U20" s="36">
        <f>sg!$D223</f>
      </c>
      <c r="V20" s="36">
        <f>sg!$E223</f>
        <v>0</v>
      </c>
      <c r="W20" s="125">
        <f t="shared" si="0"/>
        <v>0</v>
      </c>
      <c r="X20" s="33">
        <f t="shared" si="1"/>
        <v>0</v>
      </c>
      <c r="Y20" s="33">
        <v>11</v>
      </c>
      <c r="Z20" s="33">
        <f t="shared" si="3"/>
        <v>8</v>
      </c>
      <c r="AA20" s="33">
        <f t="shared" si="4"/>
        <v>0</v>
      </c>
      <c r="AB20" s="33">
        <f t="shared" si="5"/>
        <v>0</v>
      </c>
    </row>
    <row r="21" spans="20:28" ht="12.75">
      <c r="T21" s="27" t="s">
        <v>74</v>
      </c>
      <c r="V21" s="37"/>
      <c r="W21" s="124">
        <f aca="true" t="shared" si="6" ref="W21:AB21">SUM(W3:W19)</f>
        <v>23</v>
      </c>
      <c r="X21" s="27">
        <f t="shared" si="6"/>
        <v>12</v>
      </c>
      <c r="Y21" s="27">
        <f t="shared" si="6"/>
        <v>23</v>
      </c>
      <c r="Z21" s="27">
        <f t="shared" si="6"/>
        <v>17</v>
      </c>
      <c r="AA21" s="27">
        <f t="shared" si="6"/>
        <v>27</v>
      </c>
      <c r="AB21" s="27">
        <f t="shared" si="6"/>
        <v>6</v>
      </c>
    </row>
    <row r="22" spans="20:28" ht="12.75">
      <c r="T22" s="27" t="s">
        <v>75</v>
      </c>
      <c r="V22" s="37"/>
      <c r="W22" s="124">
        <f aca="true" t="shared" si="7" ref="W22:AB22">COUNT(W3:W20)</f>
        <v>17</v>
      </c>
      <c r="X22" s="124">
        <f t="shared" si="7"/>
        <v>17</v>
      </c>
      <c r="Y22" s="124">
        <f t="shared" si="7"/>
        <v>17</v>
      </c>
      <c r="Z22" s="124">
        <f t="shared" si="7"/>
        <v>17</v>
      </c>
      <c r="AA22" s="124">
        <f t="shared" si="7"/>
        <v>17</v>
      </c>
      <c r="AB22" s="124">
        <f t="shared" si="7"/>
        <v>17</v>
      </c>
    </row>
  </sheetData>
  <sheetProtection/>
  <printOptions gridLines="1"/>
  <pageMargins left="0" right="0" top="1.5748031496062993" bottom="0.3937007874015748" header="0.3937007874015748" footer="0.1968503937007874"/>
  <pageSetup horizontalDpi="300" verticalDpi="300" orientation="landscape" paperSize="9" r:id="rId2"/>
  <headerFooter alignWithMargins="0">
    <oddHeader>&amp;L&amp;G&amp;C&amp;"Arial,Bold"&amp;18Berkshire Schools Track &amp;&amp; Field Championships
Saturday, 12 June 2010
Palmer Park Reading&amp;"Arial,Regular"&amp;10
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R252"/>
  <sheetViews>
    <sheetView zoomScalePageLayoutView="0" workbookViewId="0" topLeftCell="A1">
      <pane ySplit="1" topLeftCell="A55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2" max="2" width="9.140625" style="144" customWidth="1"/>
    <col min="5" max="5" width="9.140625" style="144" customWidth="1"/>
    <col min="7" max="8" width="5.28125" style="55" customWidth="1"/>
    <col min="17" max="18" width="4.8515625" style="55" customWidth="1"/>
  </cols>
  <sheetData>
    <row r="1" spans="1:18" s="14" customFormat="1" ht="12.75">
      <c r="A1" s="14" t="s">
        <v>29</v>
      </c>
      <c r="B1" s="143"/>
      <c r="E1" s="143"/>
      <c r="G1" s="51"/>
      <c r="H1" s="51"/>
      <c r="J1" s="15"/>
      <c r="Q1" s="51"/>
      <c r="R1" s="51"/>
    </row>
    <row r="2" ht="12.75">
      <c r="J2" s="12"/>
    </row>
    <row r="3" spans="1:18" s="14" customFormat="1" ht="12.75">
      <c r="A3" s="14" t="s">
        <v>215</v>
      </c>
      <c r="B3" s="143"/>
      <c r="E3" s="143"/>
      <c r="G3" s="51"/>
      <c r="H3" s="51"/>
      <c r="J3" s="15"/>
      <c r="Q3" s="51"/>
      <c r="R3" s="51"/>
    </row>
    <row r="4" spans="1:10" ht="12.75">
      <c r="A4" s="1" t="s">
        <v>0</v>
      </c>
      <c r="B4" s="134" t="s">
        <v>1</v>
      </c>
      <c r="C4" s="3" t="s">
        <v>2</v>
      </c>
      <c r="D4" s="4" t="s">
        <v>3</v>
      </c>
      <c r="E4" s="147" t="s">
        <v>4</v>
      </c>
      <c r="F4" s="16" t="s">
        <v>24</v>
      </c>
      <c r="I4" t="s">
        <v>6</v>
      </c>
      <c r="J4" s="12">
        <v>54.3</v>
      </c>
    </row>
    <row r="5" spans="1:10" ht="12.75">
      <c r="A5" s="6">
        <v>1</v>
      </c>
      <c r="B5" s="138">
        <v>11</v>
      </c>
      <c r="C5" s="8" t="str">
        <f aca="true" t="shared" si="0" ref="C5:C10">IF(OR($B5=0,$B5=""),"",VLOOKUP($B5,sb400mh,2,FALSE))</f>
        <v>Jack Millar</v>
      </c>
      <c r="D5" s="8" t="str">
        <f aca="true" t="shared" si="1" ref="D5:D11">IF(OR($B5=0,$B5=""),"",VLOOKUP($B5,sb400mh,3,FALSE))</f>
        <v>WOK</v>
      </c>
      <c r="E5" s="148">
        <v>61</v>
      </c>
      <c r="F5">
        <v>6</v>
      </c>
      <c r="G5" s="55">
        <f>IF(E5="","",IF(E5&gt;J4,"","CBP"))</f>
      </c>
      <c r="H5" s="55">
        <f aca="true" t="shared" si="2" ref="H5:H10">IF(E5="","",IF(E5&gt;J$5,"","ESQ"))</f>
      </c>
      <c r="I5" t="s">
        <v>26</v>
      </c>
      <c r="J5" s="12">
        <v>56.2</v>
      </c>
    </row>
    <row r="6" spans="1:10" ht="12.75">
      <c r="A6" s="6">
        <v>2</v>
      </c>
      <c r="B6" s="138"/>
      <c r="C6" s="8">
        <f t="shared" si="0"/>
      </c>
      <c r="D6" s="8">
        <f t="shared" si="1"/>
      </c>
      <c r="E6" s="148"/>
      <c r="F6">
        <v>5</v>
      </c>
      <c r="H6" s="55">
        <f t="shared" si="2"/>
      </c>
      <c r="J6" s="12"/>
    </row>
    <row r="7" spans="1:10" ht="12.75">
      <c r="A7" s="6">
        <v>3</v>
      </c>
      <c r="B7" s="145"/>
      <c r="C7" s="8">
        <f t="shared" si="0"/>
      </c>
      <c r="D7" s="8">
        <f t="shared" si="1"/>
      </c>
      <c r="E7" s="148"/>
      <c r="F7">
        <v>4</v>
      </c>
      <c r="H7" s="55">
        <f t="shared" si="2"/>
      </c>
      <c r="J7" s="12"/>
    </row>
    <row r="8" spans="1:10" ht="12.75">
      <c r="A8" s="6">
        <v>4</v>
      </c>
      <c r="B8" s="141"/>
      <c r="C8" s="8">
        <f t="shared" si="0"/>
      </c>
      <c r="D8" s="8">
        <f t="shared" si="1"/>
      </c>
      <c r="E8" s="148"/>
      <c r="F8">
        <v>3</v>
      </c>
      <c r="H8" s="55">
        <f t="shared" si="2"/>
      </c>
      <c r="J8" s="12"/>
    </row>
    <row r="9" spans="1:10" ht="12.75">
      <c r="A9" s="6">
        <v>5</v>
      </c>
      <c r="B9" s="132"/>
      <c r="C9" s="8">
        <f t="shared" si="0"/>
      </c>
      <c r="D9" s="8">
        <f t="shared" si="1"/>
      </c>
      <c r="E9" s="148"/>
      <c r="F9">
        <v>2</v>
      </c>
      <c r="H9" s="55">
        <f t="shared" si="2"/>
      </c>
      <c r="J9" s="12"/>
    </row>
    <row r="10" spans="1:10" ht="12.75">
      <c r="A10" s="6">
        <v>6</v>
      </c>
      <c r="B10" s="145"/>
      <c r="C10" s="8">
        <f t="shared" si="0"/>
      </c>
      <c r="D10" s="8">
        <f t="shared" si="1"/>
      </c>
      <c r="E10" s="148"/>
      <c r="F10">
        <v>1</v>
      </c>
      <c r="H10" s="55">
        <f t="shared" si="2"/>
      </c>
      <c r="J10" s="12"/>
    </row>
    <row r="11" ht="12.75">
      <c r="D11" s="8">
        <f t="shared" si="1"/>
      </c>
    </row>
    <row r="12" spans="1:18" s="14" customFormat="1" ht="12.75">
      <c r="A12" s="169" t="s">
        <v>131</v>
      </c>
      <c r="B12" s="170"/>
      <c r="C12" s="169"/>
      <c r="D12" s="169"/>
      <c r="E12" s="170"/>
      <c r="F12" s="169"/>
      <c r="G12" s="171"/>
      <c r="H12" s="171"/>
      <c r="I12" s="169"/>
      <c r="Q12" s="51"/>
      <c r="R12" s="51"/>
    </row>
    <row r="13" spans="1:9" ht="12.75">
      <c r="A13" s="172" t="s">
        <v>32</v>
      </c>
      <c r="B13" s="173"/>
      <c r="C13" s="172"/>
      <c r="D13" s="172"/>
      <c r="E13" s="173"/>
      <c r="F13" s="172"/>
      <c r="G13" s="174"/>
      <c r="H13" s="174"/>
      <c r="I13" s="172"/>
    </row>
    <row r="14" spans="1:16" ht="12.75">
      <c r="A14" s="175" t="s">
        <v>0</v>
      </c>
      <c r="B14" s="176" t="s">
        <v>1</v>
      </c>
      <c r="C14" s="177" t="s">
        <v>2</v>
      </c>
      <c r="D14" s="178" t="s">
        <v>3</v>
      </c>
      <c r="E14" s="179" t="s">
        <v>4</v>
      </c>
      <c r="F14" s="180" t="s">
        <v>114</v>
      </c>
      <c r="G14" s="174"/>
      <c r="H14" s="174"/>
      <c r="I14" s="172" t="s">
        <v>6</v>
      </c>
      <c r="J14" s="12"/>
      <c r="K14" s="1"/>
      <c r="L14" s="2"/>
      <c r="M14" s="3"/>
      <c r="N14" s="4"/>
      <c r="O14" s="5"/>
      <c r="P14" s="16"/>
    </row>
    <row r="15" spans="1:15" ht="12.75">
      <c r="A15" s="182">
        <v>1</v>
      </c>
      <c r="B15" s="183"/>
      <c r="C15" s="184">
        <f aca="true" t="shared" si="3" ref="C15:C20">IF(OR($B15=0,$B15=""),"",VLOOKUP($B15,sb100m,2,FALSE))</f>
      </c>
      <c r="D15" s="184">
        <f aca="true" t="shared" si="4" ref="D15:D20">IF(OR($B15=0,$B15=""),"",VLOOKUP($B15,sb100m,3,FALSE))</f>
      </c>
      <c r="E15" s="186"/>
      <c r="F15" s="172"/>
      <c r="G15" s="174">
        <f>IF(E15="","",IF(E15&gt;J14,"","CBP"))</f>
      </c>
      <c r="H15" s="174">
        <f aca="true" t="shared" si="5" ref="H15:H28">IF(E15="","",IF(E15&gt;J$15,"","ESQ"))</f>
      </c>
      <c r="I15" s="172" t="s">
        <v>26</v>
      </c>
      <c r="J15" s="12">
        <v>11.1</v>
      </c>
      <c r="K15" s="6"/>
      <c r="L15" s="7"/>
      <c r="M15" s="8"/>
      <c r="N15" s="8"/>
      <c r="O15" s="9"/>
    </row>
    <row r="16" spans="1:15" ht="12.75">
      <c r="A16" s="182">
        <v>2</v>
      </c>
      <c r="B16" s="183"/>
      <c r="C16" s="184">
        <f t="shared" si="3"/>
      </c>
      <c r="D16" s="184">
        <f t="shared" si="4"/>
      </c>
      <c r="E16" s="186"/>
      <c r="F16" s="172"/>
      <c r="G16" s="174"/>
      <c r="H16" s="174">
        <f t="shared" si="5"/>
      </c>
      <c r="I16" s="172"/>
      <c r="J16" s="12"/>
      <c r="K16" s="6"/>
      <c r="L16" s="7"/>
      <c r="M16" s="8"/>
      <c r="N16" s="8"/>
      <c r="O16" s="9"/>
    </row>
    <row r="17" spans="1:15" ht="12.75">
      <c r="A17" s="182">
        <v>3</v>
      </c>
      <c r="B17" s="187"/>
      <c r="C17" s="184">
        <f t="shared" si="3"/>
      </c>
      <c r="D17" s="184">
        <f t="shared" si="4"/>
      </c>
      <c r="E17" s="186"/>
      <c r="F17" s="172"/>
      <c r="G17" s="174"/>
      <c r="H17" s="174">
        <f t="shared" si="5"/>
      </c>
      <c r="I17" s="172"/>
      <c r="J17" s="12"/>
      <c r="K17" s="6"/>
      <c r="L17" s="10"/>
      <c r="M17" s="8"/>
      <c r="N17" s="8"/>
      <c r="O17" s="9"/>
    </row>
    <row r="18" spans="1:15" ht="12.75">
      <c r="A18" s="182">
        <v>4</v>
      </c>
      <c r="B18" s="188"/>
      <c r="C18" s="184">
        <f t="shared" si="3"/>
      </c>
      <c r="D18" s="184">
        <f t="shared" si="4"/>
      </c>
      <c r="E18" s="186"/>
      <c r="F18" s="172"/>
      <c r="G18" s="174"/>
      <c r="H18" s="174">
        <f t="shared" si="5"/>
      </c>
      <c r="I18" s="172"/>
      <c r="J18" s="12"/>
      <c r="K18" s="6"/>
      <c r="L18" s="11"/>
      <c r="M18" s="8"/>
      <c r="N18" s="8"/>
      <c r="O18" s="9"/>
    </row>
    <row r="19" spans="1:15" ht="12.75">
      <c r="A19" s="182">
        <v>5</v>
      </c>
      <c r="B19" s="189"/>
      <c r="C19" s="184">
        <f t="shared" si="3"/>
      </c>
      <c r="D19" s="184">
        <f t="shared" si="4"/>
      </c>
      <c r="E19" s="186"/>
      <c r="F19" s="172"/>
      <c r="G19" s="174"/>
      <c r="H19" s="174">
        <f t="shared" si="5"/>
      </c>
      <c r="I19" s="172"/>
      <c r="J19" s="12"/>
      <c r="K19" s="6"/>
      <c r="L19" s="6"/>
      <c r="M19" s="8"/>
      <c r="N19" s="8"/>
      <c r="O19" s="9"/>
    </row>
    <row r="20" spans="1:15" ht="12.75">
      <c r="A20" s="182">
        <v>6</v>
      </c>
      <c r="B20" s="187"/>
      <c r="C20" s="184">
        <f t="shared" si="3"/>
      </c>
      <c r="D20" s="184">
        <f t="shared" si="4"/>
      </c>
      <c r="E20" s="186"/>
      <c r="F20" s="172"/>
      <c r="G20" s="174"/>
      <c r="H20" s="174">
        <f t="shared" si="5"/>
      </c>
      <c r="I20" s="172"/>
      <c r="J20" s="12"/>
      <c r="K20" s="6"/>
      <c r="L20" s="10"/>
      <c r="M20" s="8"/>
      <c r="N20" s="8"/>
      <c r="O20" s="9"/>
    </row>
    <row r="21" spans="1:15" ht="12.75">
      <c r="A21" s="172" t="s">
        <v>33</v>
      </c>
      <c r="B21" s="173"/>
      <c r="C21" s="172"/>
      <c r="D21" s="172"/>
      <c r="E21" s="173"/>
      <c r="F21" s="172"/>
      <c r="G21" s="174"/>
      <c r="H21" s="174">
        <f t="shared" si="5"/>
      </c>
      <c r="I21" s="172"/>
      <c r="J21" s="12"/>
      <c r="K21" s="6"/>
      <c r="L21" s="10"/>
      <c r="M21" s="8"/>
      <c r="N21" s="8"/>
      <c r="O21" s="9"/>
    </row>
    <row r="22" spans="1:15" ht="12.75">
      <c r="A22" s="175" t="s">
        <v>0</v>
      </c>
      <c r="B22" s="176" t="s">
        <v>1</v>
      </c>
      <c r="C22" s="177" t="s">
        <v>2</v>
      </c>
      <c r="D22" s="178" t="s">
        <v>3</v>
      </c>
      <c r="E22" s="179" t="s">
        <v>4</v>
      </c>
      <c r="F22" s="180" t="s">
        <v>114</v>
      </c>
      <c r="G22" s="174"/>
      <c r="H22" s="174">
        <f t="shared" si="5"/>
      </c>
      <c r="I22" s="172"/>
      <c r="J22" s="12"/>
      <c r="K22" s="6"/>
      <c r="L22" s="10"/>
      <c r="M22" s="8"/>
      <c r="N22" s="8"/>
      <c r="O22" s="9"/>
    </row>
    <row r="23" spans="1:15" ht="12.75">
      <c r="A23" s="182">
        <v>1</v>
      </c>
      <c r="B23" s="183"/>
      <c r="C23" s="184">
        <f aca="true" t="shared" si="6" ref="C23:C28">IF(OR($B23=0,$B23=""),"",VLOOKUP($B23,sb100m,2,FALSE))</f>
      </c>
      <c r="D23" s="184">
        <f aca="true" t="shared" si="7" ref="D23:D28">IF(OR($B23=0,$B23=""),"",VLOOKUP($B23,sb100m,3,FALSE))</f>
      </c>
      <c r="E23" s="186"/>
      <c r="F23" s="172"/>
      <c r="G23" s="174">
        <f>IF(E23="","",IF(E23&gt;J14,"","CBP"))</f>
      </c>
      <c r="H23" s="174">
        <f t="shared" si="5"/>
      </c>
      <c r="I23" s="172"/>
      <c r="J23" s="12"/>
      <c r="K23" s="6"/>
      <c r="L23" s="10"/>
      <c r="M23" s="8"/>
      <c r="N23" s="8"/>
      <c r="O23" s="9"/>
    </row>
    <row r="24" spans="1:15" ht="12.75">
      <c r="A24" s="182">
        <v>2</v>
      </c>
      <c r="B24" s="183"/>
      <c r="C24" s="184">
        <f t="shared" si="6"/>
      </c>
      <c r="D24" s="184">
        <f t="shared" si="7"/>
      </c>
      <c r="E24" s="186"/>
      <c r="F24" s="172"/>
      <c r="G24" s="174"/>
      <c r="H24" s="174">
        <f t="shared" si="5"/>
      </c>
      <c r="I24" s="172"/>
      <c r="J24" s="12"/>
      <c r="K24" s="6"/>
      <c r="L24" s="10"/>
      <c r="M24" s="8"/>
      <c r="N24" s="8"/>
      <c r="O24" s="9"/>
    </row>
    <row r="25" spans="1:15" ht="12.75">
      <c r="A25" s="182">
        <v>3</v>
      </c>
      <c r="B25" s="187"/>
      <c r="C25" s="184">
        <f t="shared" si="6"/>
      </c>
      <c r="D25" s="184">
        <f t="shared" si="7"/>
      </c>
      <c r="E25" s="186"/>
      <c r="F25" s="172"/>
      <c r="G25" s="174"/>
      <c r="H25" s="174">
        <f t="shared" si="5"/>
      </c>
      <c r="I25" s="172"/>
      <c r="J25" s="12"/>
      <c r="K25" s="6"/>
      <c r="L25" s="10"/>
      <c r="M25" s="8"/>
      <c r="N25" s="8"/>
      <c r="O25" s="9"/>
    </row>
    <row r="26" spans="1:15" ht="12.75">
      <c r="A26" s="182">
        <v>4</v>
      </c>
      <c r="B26" s="188"/>
      <c r="C26" s="184">
        <f t="shared" si="6"/>
      </c>
      <c r="D26" s="184">
        <f t="shared" si="7"/>
      </c>
      <c r="E26" s="186"/>
      <c r="F26" s="172"/>
      <c r="G26" s="174"/>
      <c r="H26" s="174">
        <f t="shared" si="5"/>
      </c>
      <c r="I26" s="172"/>
      <c r="J26" s="12"/>
      <c r="K26" s="6"/>
      <c r="L26" s="10"/>
      <c r="M26" s="8"/>
      <c r="N26" s="8"/>
      <c r="O26" s="9"/>
    </row>
    <row r="27" spans="1:15" ht="12.75">
      <c r="A27" s="182">
        <v>5</v>
      </c>
      <c r="B27" s="189"/>
      <c r="C27" s="184">
        <f t="shared" si="6"/>
      </c>
      <c r="D27" s="184">
        <f t="shared" si="7"/>
      </c>
      <c r="E27" s="186"/>
      <c r="F27" s="172"/>
      <c r="G27" s="174"/>
      <c r="H27" s="174">
        <f t="shared" si="5"/>
      </c>
      <c r="I27" s="172"/>
      <c r="J27" s="12"/>
      <c r="K27" s="6"/>
      <c r="L27" s="10"/>
      <c r="M27" s="8"/>
      <c r="N27" s="8"/>
      <c r="O27" s="9"/>
    </row>
    <row r="28" spans="1:15" ht="12.75">
      <c r="A28" s="182">
        <v>6</v>
      </c>
      <c r="B28" s="187"/>
      <c r="C28" s="184">
        <f t="shared" si="6"/>
      </c>
      <c r="D28" s="184">
        <f t="shared" si="7"/>
      </c>
      <c r="E28" s="186"/>
      <c r="F28" s="172"/>
      <c r="G28" s="174"/>
      <c r="H28" s="174">
        <f t="shared" si="5"/>
      </c>
      <c r="I28" s="172"/>
      <c r="J28" s="12"/>
      <c r="K28" s="6"/>
      <c r="L28" s="10"/>
      <c r="M28" s="8"/>
      <c r="N28" s="8"/>
      <c r="O28" s="9"/>
    </row>
    <row r="29" ht="12.75">
      <c r="D29" s="8"/>
    </row>
    <row r="30" spans="1:10" ht="12.75">
      <c r="A30" s="14" t="s">
        <v>133</v>
      </c>
      <c r="B30" s="143"/>
      <c r="C30" s="14"/>
      <c r="D30" s="14"/>
      <c r="E30" s="143"/>
      <c r="F30" s="14"/>
      <c r="G30" s="51"/>
      <c r="H30" s="51"/>
      <c r="I30" s="14"/>
      <c r="J30" s="14"/>
    </row>
    <row r="32" spans="1:11" ht="12.75">
      <c r="A32" s="1" t="s">
        <v>0</v>
      </c>
      <c r="B32" s="134" t="s">
        <v>1</v>
      </c>
      <c r="C32" s="3" t="s">
        <v>2</v>
      </c>
      <c r="D32" s="4" t="s">
        <v>3</v>
      </c>
      <c r="E32" s="147" t="s">
        <v>4</v>
      </c>
      <c r="F32" s="16" t="s">
        <v>24</v>
      </c>
      <c r="I32" t="s">
        <v>6</v>
      </c>
      <c r="J32" s="49">
        <v>0.0012962962962962963</v>
      </c>
      <c r="K32" s="42" t="s">
        <v>348</v>
      </c>
    </row>
    <row r="33" spans="1:10" ht="12.75">
      <c r="A33" s="6">
        <v>1</v>
      </c>
      <c r="B33" s="138">
        <v>7</v>
      </c>
      <c r="C33" s="8" t="str">
        <f aca="true" t="shared" si="8" ref="C33:C44">IF(OR($B33=0,$B33=""),"",VLOOKUP($B33,sb800m,2,FALSE))</f>
        <v>Alexander RB Bevan</v>
      </c>
      <c r="D33" s="8" t="str">
        <f aca="true" t="shared" si="9" ref="D33:D43">IF(OR($B33=0,$B33=""),"",VLOOKUP($B33,sb800m,3,FALSE))</f>
        <v>SL</v>
      </c>
      <c r="E33" s="149">
        <v>0.0014097222222222221</v>
      </c>
      <c r="F33">
        <v>6</v>
      </c>
      <c r="G33" s="55">
        <f>IF(E33="","",IF(E33&gt;J32,"","CBP"))</f>
      </c>
      <c r="H33" s="55">
        <f aca="true" t="shared" si="10" ref="H33:H38">IF(E33="","",IF(E33&gt;J$33,"","ESQ"))</f>
      </c>
      <c r="I33" t="s">
        <v>26</v>
      </c>
      <c r="J33" s="49">
        <v>0.0013310185185185185</v>
      </c>
    </row>
    <row r="34" spans="1:10" ht="12.75">
      <c r="A34" s="6">
        <v>2</v>
      </c>
      <c r="B34" s="138"/>
      <c r="C34" s="8">
        <f t="shared" si="8"/>
      </c>
      <c r="D34" s="8">
        <f t="shared" si="9"/>
      </c>
      <c r="E34" s="149"/>
      <c r="F34">
        <v>5</v>
      </c>
      <c r="H34" s="55">
        <f t="shared" si="10"/>
      </c>
      <c r="J34" s="12"/>
    </row>
    <row r="35" spans="1:10" ht="12.75">
      <c r="A35" s="6">
        <v>3</v>
      </c>
      <c r="B35" s="145"/>
      <c r="C35" s="8">
        <f t="shared" si="8"/>
      </c>
      <c r="D35" s="8">
        <f t="shared" si="9"/>
      </c>
      <c r="E35" s="149"/>
      <c r="F35">
        <v>4</v>
      </c>
      <c r="H35" s="55">
        <f t="shared" si="10"/>
      </c>
      <c r="J35" s="12"/>
    </row>
    <row r="36" spans="1:10" ht="12.75">
      <c r="A36" s="6">
        <v>4</v>
      </c>
      <c r="B36" s="141"/>
      <c r="C36" s="8">
        <f t="shared" si="8"/>
      </c>
      <c r="D36" s="8">
        <f t="shared" si="9"/>
      </c>
      <c r="E36" s="149"/>
      <c r="F36">
        <v>3</v>
      </c>
      <c r="H36" s="55">
        <f t="shared" si="10"/>
      </c>
      <c r="J36" s="12"/>
    </row>
    <row r="37" spans="1:10" ht="12.75">
      <c r="A37" s="6">
        <v>5</v>
      </c>
      <c r="B37" s="132"/>
      <c r="C37" s="8">
        <f t="shared" si="8"/>
      </c>
      <c r="D37" s="8">
        <f t="shared" si="9"/>
      </c>
      <c r="E37" s="149"/>
      <c r="F37">
        <v>2</v>
      </c>
      <c r="H37" s="55">
        <f t="shared" si="10"/>
      </c>
      <c r="J37" s="12"/>
    </row>
    <row r="38" spans="1:10" ht="12.75">
      <c r="A38" s="6">
        <v>6</v>
      </c>
      <c r="B38" s="145"/>
      <c r="C38" s="8">
        <f t="shared" si="8"/>
      </c>
      <c r="D38" s="8">
        <f t="shared" si="9"/>
      </c>
      <c r="E38" s="149"/>
      <c r="F38">
        <v>1</v>
      </c>
      <c r="H38" s="55">
        <f t="shared" si="10"/>
      </c>
      <c r="J38" s="12"/>
    </row>
    <row r="39" spans="1:5" ht="12.75">
      <c r="A39" s="6">
        <v>7</v>
      </c>
      <c r="C39" s="8">
        <f t="shared" si="8"/>
      </c>
      <c r="D39" s="8">
        <f t="shared" si="9"/>
      </c>
      <c r="E39" s="150"/>
    </row>
    <row r="40" spans="1:5" ht="12.75">
      <c r="A40" s="6">
        <v>8</v>
      </c>
      <c r="C40" s="8">
        <f t="shared" si="8"/>
      </c>
      <c r="D40" s="8">
        <f t="shared" si="9"/>
      </c>
      <c r="E40" s="150"/>
    </row>
    <row r="41" spans="1:5" ht="12.75">
      <c r="A41" s="6">
        <v>9</v>
      </c>
      <c r="C41" s="8">
        <f t="shared" si="8"/>
      </c>
      <c r="D41" s="8">
        <f t="shared" si="9"/>
      </c>
      <c r="E41" s="150"/>
    </row>
    <row r="42" spans="1:5" ht="12.75">
      <c r="A42" s="6">
        <v>10</v>
      </c>
      <c r="C42" s="8">
        <f t="shared" si="8"/>
      </c>
      <c r="D42" s="8">
        <f t="shared" si="9"/>
      </c>
      <c r="E42" s="150"/>
    </row>
    <row r="43" spans="1:5" ht="12.75">
      <c r="A43" s="6">
        <v>11</v>
      </c>
      <c r="C43" s="8">
        <f t="shared" si="8"/>
      </c>
      <c r="D43" s="8">
        <f t="shared" si="9"/>
      </c>
      <c r="E43" s="150"/>
    </row>
    <row r="44" spans="1:5" ht="12.75">
      <c r="A44" s="6">
        <v>12</v>
      </c>
      <c r="C44" s="8">
        <f t="shared" si="8"/>
      </c>
      <c r="E44" s="150"/>
    </row>
    <row r="46" spans="1:10" ht="12.75">
      <c r="A46" s="14" t="s">
        <v>231</v>
      </c>
      <c r="B46" s="143"/>
      <c r="C46" s="14"/>
      <c r="D46" s="14"/>
      <c r="E46" s="143"/>
      <c r="F46" s="14"/>
      <c r="G46" s="51"/>
      <c r="H46" s="51"/>
      <c r="I46" s="14"/>
      <c r="J46" s="14"/>
    </row>
    <row r="48" spans="1:11" ht="12.75">
      <c r="A48" s="1" t="s">
        <v>0</v>
      </c>
      <c r="B48" s="134" t="s">
        <v>1</v>
      </c>
      <c r="C48" s="3" t="s">
        <v>2</v>
      </c>
      <c r="D48" s="4" t="s">
        <v>3</v>
      </c>
      <c r="E48" s="147" t="s">
        <v>4</v>
      </c>
      <c r="F48" s="16" t="s">
        <v>24</v>
      </c>
      <c r="I48" t="s">
        <v>6</v>
      </c>
      <c r="J48" s="12">
        <v>14.3</v>
      </c>
      <c r="K48" s="42" t="s">
        <v>232</v>
      </c>
    </row>
    <row r="49" spans="1:10" ht="12.75">
      <c r="A49" s="6">
        <v>1</v>
      </c>
      <c r="B49" s="138"/>
      <c r="C49" s="8">
        <f aca="true" t="shared" si="11" ref="C49:C54">IF(OR($B49=0,$B49=""),"",VLOOKUP($B49,sb110mh,2,FALSE))</f>
      </c>
      <c r="D49" s="8">
        <f aca="true" t="shared" si="12" ref="D49:D54">IF(OR($B49=0,$B49=""),"",VLOOKUP($B49,sb110mh,3,FALSE))</f>
      </c>
      <c r="E49" s="148"/>
      <c r="F49">
        <v>6</v>
      </c>
      <c r="G49" s="55">
        <f>IF(E49="","",IF(E49&gt;J48,"","CBP"))</f>
      </c>
      <c r="H49" s="55">
        <f aca="true" t="shared" si="13" ref="H49:H54">IF(E49="","",IF(E49&gt;J$49,"","ESQ"))</f>
      </c>
      <c r="I49" t="s">
        <v>26</v>
      </c>
      <c r="J49" s="12">
        <v>15.2</v>
      </c>
    </row>
    <row r="50" spans="1:10" ht="12.75">
      <c r="A50" s="6">
        <v>2</v>
      </c>
      <c r="B50" s="138"/>
      <c r="C50" s="8">
        <f t="shared" si="11"/>
      </c>
      <c r="D50" s="8">
        <f t="shared" si="12"/>
      </c>
      <c r="E50" s="148"/>
      <c r="F50">
        <v>5</v>
      </c>
      <c r="H50" s="55">
        <f t="shared" si="13"/>
      </c>
      <c r="J50" s="12"/>
    </row>
    <row r="51" spans="1:10" ht="12.75">
      <c r="A51" s="6">
        <v>3</v>
      </c>
      <c r="B51" s="145"/>
      <c r="C51" s="8">
        <f t="shared" si="11"/>
      </c>
      <c r="D51" s="8">
        <f t="shared" si="12"/>
      </c>
      <c r="E51" s="148"/>
      <c r="F51">
        <v>4</v>
      </c>
      <c r="H51" s="55">
        <f t="shared" si="13"/>
      </c>
      <c r="J51" s="12"/>
    </row>
    <row r="52" spans="1:10" ht="12.75">
      <c r="A52" s="6">
        <v>4</v>
      </c>
      <c r="B52" s="141"/>
      <c r="C52" s="8">
        <f t="shared" si="11"/>
      </c>
      <c r="D52" s="8">
        <f t="shared" si="12"/>
      </c>
      <c r="E52" s="148"/>
      <c r="F52">
        <v>3</v>
      </c>
      <c r="H52" s="55">
        <f t="shared" si="13"/>
      </c>
      <c r="J52" s="12"/>
    </row>
    <row r="53" spans="1:10" ht="12.75">
      <c r="A53" s="6">
        <v>5</v>
      </c>
      <c r="B53" s="132"/>
      <c r="C53" s="8">
        <f t="shared" si="11"/>
      </c>
      <c r="D53" s="8">
        <f t="shared" si="12"/>
      </c>
      <c r="E53" s="148"/>
      <c r="F53">
        <v>2</v>
      </c>
      <c r="H53" s="55">
        <f t="shared" si="13"/>
      </c>
      <c r="J53" s="12"/>
    </row>
    <row r="54" spans="1:10" ht="12.75">
      <c r="A54" s="6">
        <v>6</v>
      </c>
      <c r="B54" s="145"/>
      <c r="C54" s="8">
        <f t="shared" si="11"/>
      </c>
      <c r="D54" s="8">
        <f t="shared" si="12"/>
      </c>
      <c r="E54" s="148"/>
      <c r="F54">
        <v>1</v>
      </c>
      <c r="H54" s="55">
        <f t="shared" si="13"/>
      </c>
      <c r="J54" s="12"/>
    </row>
    <row r="56" spans="1:10" ht="12.75">
      <c r="A56" s="14" t="s">
        <v>137</v>
      </c>
      <c r="B56" s="143"/>
      <c r="C56" s="14"/>
      <c r="D56" s="14"/>
      <c r="E56" s="143"/>
      <c r="F56" s="14"/>
      <c r="G56" s="51"/>
      <c r="H56" s="51"/>
      <c r="I56" s="14"/>
      <c r="J56" s="14"/>
    </row>
    <row r="58" spans="1:11" ht="12.75">
      <c r="A58" s="1" t="s">
        <v>0</v>
      </c>
      <c r="B58" s="134" t="s">
        <v>1</v>
      </c>
      <c r="C58" s="3" t="s">
        <v>2</v>
      </c>
      <c r="D58" s="4" t="s">
        <v>3</v>
      </c>
      <c r="E58" s="147" t="s">
        <v>4</v>
      </c>
      <c r="F58" s="16" t="s">
        <v>24</v>
      </c>
      <c r="I58" t="s">
        <v>6</v>
      </c>
      <c r="J58" s="12">
        <v>48.5</v>
      </c>
      <c r="K58" s="42" t="s">
        <v>325</v>
      </c>
    </row>
    <row r="59" spans="1:10" ht="12.75">
      <c r="A59" s="6">
        <v>1</v>
      </c>
      <c r="B59" s="138">
        <v>10</v>
      </c>
      <c r="C59" s="8" t="str">
        <f aca="true" t="shared" si="14" ref="C59:C64">IF(OR($B59=0,$B59=""),"",VLOOKUP($B59,sb400m,2,FALSE))</f>
        <v>Alex Haydock-Wilson </v>
      </c>
      <c r="D59" s="8" t="str">
        <f aca="true" t="shared" si="15" ref="D59:D64">IF(OR($B59=0,$B59=""),"",VLOOKUP($B59,sb400m,3,FALSE))</f>
        <v>W&amp;M</v>
      </c>
      <c r="E59" s="148">
        <v>50.1</v>
      </c>
      <c r="F59">
        <v>6</v>
      </c>
      <c r="G59" s="55">
        <f>IF(E59="","",IF(E59&gt;J58,"","CBP"))</f>
      </c>
      <c r="H59" s="55">
        <f aca="true" t="shared" si="16" ref="H59:H64">IF(E59="","",IF(E59&gt;J$59,"","ESQ"))</f>
      </c>
      <c r="I59" t="s">
        <v>26</v>
      </c>
      <c r="J59" s="12">
        <v>49.3</v>
      </c>
    </row>
    <row r="60" spans="1:10" ht="12.75">
      <c r="A60" s="6">
        <v>2</v>
      </c>
      <c r="B60" s="138">
        <v>3</v>
      </c>
      <c r="C60" s="8" t="str">
        <f t="shared" si="14"/>
        <v>Blaine Lewis-Shallow</v>
      </c>
      <c r="D60" s="8" t="str">
        <f t="shared" si="15"/>
        <v>WB</v>
      </c>
      <c r="E60" s="148">
        <v>50.6</v>
      </c>
      <c r="F60">
        <v>5</v>
      </c>
      <c r="H60" s="55">
        <f t="shared" si="16"/>
      </c>
      <c r="J60" s="12"/>
    </row>
    <row r="61" spans="1:10" ht="12.75">
      <c r="A61" s="6">
        <v>3</v>
      </c>
      <c r="B61" s="145">
        <v>1</v>
      </c>
      <c r="C61" s="8" t="str">
        <f t="shared" si="14"/>
        <v>M Collins</v>
      </c>
      <c r="D61" s="8" t="str">
        <f t="shared" si="15"/>
        <v>BRK</v>
      </c>
      <c r="E61" s="148">
        <v>53.7</v>
      </c>
      <c r="F61">
        <v>4</v>
      </c>
      <c r="H61" s="55">
        <f t="shared" si="16"/>
      </c>
      <c r="J61" s="12"/>
    </row>
    <row r="62" spans="1:10" ht="12.75">
      <c r="A62" s="6">
        <v>4</v>
      </c>
      <c r="B62" s="141"/>
      <c r="C62" s="8">
        <f t="shared" si="14"/>
      </c>
      <c r="D62" s="8">
        <f t="shared" si="15"/>
      </c>
      <c r="E62" s="148"/>
      <c r="F62">
        <v>3</v>
      </c>
      <c r="H62" s="55">
        <f t="shared" si="16"/>
      </c>
      <c r="J62" s="12"/>
    </row>
    <row r="63" spans="1:10" ht="12.75">
      <c r="A63" s="6">
        <v>5</v>
      </c>
      <c r="B63" s="132"/>
      <c r="C63" s="8">
        <f t="shared" si="14"/>
      </c>
      <c r="D63" s="8">
        <f t="shared" si="15"/>
      </c>
      <c r="E63" s="148"/>
      <c r="F63">
        <v>2</v>
      </c>
      <c r="H63" s="55">
        <f t="shared" si="16"/>
      </c>
      <c r="J63" s="12"/>
    </row>
    <row r="64" spans="1:10" ht="12.75">
      <c r="A64" s="6">
        <v>6</v>
      </c>
      <c r="B64" s="145"/>
      <c r="C64" s="8">
        <f t="shared" si="14"/>
      </c>
      <c r="D64" s="8">
        <f t="shared" si="15"/>
      </c>
      <c r="E64" s="148"/>
      <c r="F64">
        <v>1</v>
      </c>
      <c r="H64" s="55">
        <f t="shared" si="16"/>
      </c>
      <c r="J64" s="12"/>
    </row>
    <row r="66" spans="1:10" ht="12.75">
      <c r="A66" s="14" t="s">
        <v>219</v>
      </c>
      <c r="B66" s="143"/>
      <c r="C66" s="14"/>
      <c r="D66" s="14"/>
      <c r="E66" s="143"/>
      <c r="F66" s="14"/>
      <c r="G66" s="51"/>
      <c r="H66" s="51"/>
      <c r="I66" s="14"/>
      <c r="J66" s="14"/>
    </row>
    <row r="68" spans="1:11" ht="12.75">
      <c r="A68" s="1" t="s">
        <v>0</v>
      </c>
      <c r="B68" s="134" t="s">
        <v>1</v>
      </c>
      <c r="C68" s="3" t="s">
        <v>2</v>
      </c>
      <c r="D68" s="4" t="s">
        <v>3</v>
      </c>
      <c r="E68" s="147" t="s">
        <v>4</v>
      </c>
      <c r="F68" s="16" t="s">
        <v>24</v>
      </c>
      <c r="I68" t="s">
        <v>6</v>
      </c>
      <c r="J68" s="12">
        <v>10.6</v>
      </c>
      <c r="K68" s="42" t="s">
        <v>220</v>
      </c>
    </row>
    <row r="69" spans="1:10" ht="12.75">
      <c r="A69" s="6">
        <v>1</v>
      </c>
      <c r="B69" s="138" t="s">
        <v>742</v>
      </c>
      <c r="C69" s="8" t="str">
        <f>IF(OR($B69=0,$B69=""),"",VLOOKUP($B69,sb100m,2,FALSE))</f>
        <v>Ramone Jordan</v>
      </c>
      <c r="D69" s="8" t="str">
        <f>IF(OR($B69=0,$B69=""),"",VLOOKUP($B69,sb100m,3,FALSE))</f>
        <v>RDG</v>
      </c>
      <c r="E69" s="148">
        <v>11.5</v>
      </c>
      <c r="F69">
        <v>6</v>
      </c>
      <c r="G69" s="55">
        <f>IF(E69="","",IF(E69&gt;J68,"","CBP"))</f>
      </c>
      <c r="H69" s="55">
        <f aca="true" t="shared" si="17" ref="H69:H74">IF(E69="","",IF(E69&gt;J$69,"","ESQ"))</f>
      </c>
      <c r="I69" t="s">
        <v>26</v>
      </c>
      <c r="J69" s="12">
        <v>11.1</v>
      </c>
    </row>
    <row r="70" spans="1:10" ht="12.75">
      <c r="A70" s="6">
        <v>2</v>
      </c>
      <c r="B70" s="138">
        <v>7</v>
      </c>
      <c r="C70" s="8" t="str">
        <f>IF(OR($B70=0,$B70=""),"",VLOOKUP($B70,sb100m,2,FALSE))</f>
        <v>Charlie Crawford</v>
      </c>
      <c r="D70" s="8" t="str">
        <f>IF(OR($B70=0,$B70=""),"",VLOOKUP($B70,sb100m,3,FALSE))</f>
        <v>SL</v>
      </c>
      <c r="E70" s="148">
        <v>11.7</v>
      </c>
      <c r="F70">
        <v>5</v>
      </c>
      <c r="H70" s="55">
        <f t="shared" si="17"/>
      </c>
      <c r="J70" s="12"/>
    </row>
    <row r="71" spans="1:10" ht="12.75">
      <c r="A71" s="6">
        <v>3</v>
      </c>
      <c r="B71" s="138">
        <v>5</v>
      </c>
      <c r="C71" s="8" t="str">
        <f>IF(OR($B71=0,$B71=""),"",VLOOKUP($B71,sb100m,2,FALSE))</f>
        <v>A Akuoka</v>
      </c>
      <c r="D71" s="8" t="str">
        <f>IF(OR($B71=0,$B71=""),"",VLOOKUP($B71,sb100m,3,FALSE))</f>
        <v>RDG</v>
      </c>
      <c r="E71" s="148">
        <v>11.9</v>
      </c>
      <c r="F71">
        <v>4</v>
      </c>
      <c r="H71" s="55">
        <f t="shared" si="17"/>
      </c>
      <c r="J71" s="12"/>
    </row>
    <row r="72" spans="1:10" ht="12.75">
      <c r="A72" s="6">
        <v>4</v>
      </c>
      <c r="B72" s="138">
        <v>6</v>
      </c>
      <c r="C72" s="8" t="str">
        <f>IF(OR($B72=0,$B72=""),"",VLOOKUP($B72,sb100m,2,FALSE))</f>
        <v>T Bosnan</v>
      </c>
      <c r="D72" s="8" t="str">
        <f>IF(OR($B72=0,$B72=""),"",VLOOKUP($B72,sb100m,3,FALSE))</f>
        <v>RDG</v>
      </c>
      <c r="E72" s="148">
        <v>12.7</v>
      </c>
      <c r="F72">
        <v>3</v>
      </c>
      <c r="H72" s="55">
        <f t="shared" si="17"/>
      </c>
      <c r="J72" s="12"/>
    </row>
    <row r="73" spans="1:10" ht="12.75">
      <c r="A73" s="6">
        <v>5</v>
      </c>
      <c r="B73" s="138"/>
      <c r="C73" s="8">
        <f>IF(OR($B73=0,$B73=""),"",VLOOKUP($B73,sb100m,2,FALSE))</f>
      </c>
      <c r="D73" s="8">
        <f>IF(OR($B73=0,$B73=""),"",VLOOKUP($B73,sb100m,3,FALSE))</f>
      </c>
      <c r="E73" s="148"/>
      <c r="F73">
        <v>2</v>
      </c>
      <c r="H73" s="55">
        <f t="shared" si="17"/>
      </c>
      <c r="J73" s="12"/>
    </row>
    <row r="74" spans="1:10" ht="12.75">
      <c r="A74" s="6">
        <v>6</v>
      </c>
      <c r="B74" s="138"/>
      <c r="C74" s="8">
        <f>IF(OR($B74=0,$B74=""),"",VLOOKUP($B74,sb100m,2,FALSE))</f>
      </c>
      <c r="D74" s="8">
        <f>IF(OR($B74=0,$B74=""),"",VLOOKUP($B74,sb400m,3,FALSE))</f>
      </c>
      <c r="E74" s="148"/>
      <c r="F74">
        <v>1</v>
      </c>
      <c r="H74" s="55">
        <f t="shared" si="17"/>
      </c>
      <c r="J74" s="12"/>
    </row>
    <row r="76" spans="1:10" ht="12.75">
      <c r="A76" s="14" t="s">
        <v>249</v>
      </c>
      <c r="B76" s="143"/>
      <c r="C76" s="14"/>
      <c r="D76" s="14"/>
      <c r="E76" s="143"/>
      <c r="F76" s="14"/>
      <c r="G76" s="51"/>
      <c r="H76" s="51"/>
      <c r="I76" s="14"/>
      <c r="J76" s="14"/>
    </row>
    <row r="78" spans="1:11" ht="12.75">
      <c r="A78" s="1" t="s">
        <v>0</v>
      </c>
      <c r="B78" s="134" t="s">
        <v>1</v>
      </c>
      <c r="C78" s="3" t="s">
        <v>2</v>
      </c>
      <c r="D78" s="4" t="s">
        <v>3</v>
      </c>
      <c r="E78" s="147" t="s">
        <v>4</v>
      </c>
      <c r="F78" s="16" t="s">
        <v>24</v>
      </c>
      <c r="I78" t="s">
        <v>6</v>
      </c>
      <c r="J78" s="12">
        <v>22.2</v>
      </c>
      <c r="K78" s="42" t="s">
        <v>250</v>
      </c>
    </row>
    <row r="79" spans="1:10" ht="12.75">
      <c r="A79" s="6">
        <v>1</v>
      </c>
      <c r="B79" s="138">
        <v>11</v>
      </c>
      <c r="C79" s="8" t="str">
        <f aca="true" t="shared" si="18" ref="C79:C84">IF(OR($B79=0,$B79=""),"",VLOOKUP($B79,sb200m,2,FALSE))</f>
        <v>Dan Stoller</v>
      </c>
      <c r="D79" s="8" t="str">
        <f aca="true" t="shared" si="19" ref="D79:D84">IF(OR($B79=0,$B79=""),"",VLOOKUP($B79,sb200m,3,FALSE))</f>
        <v>WOK</v>
      </c>
      <c r="E79" s="148">
        <v>23.7</v>
      </c>
      <c r="F79">
        <v>6</v>
      </c>
      <c r="G79" s="55">
        <f>IF(E79="","",IF(E79&gt;J78,"","CBP"))</f>
      </c>
      <c r="H79" s="55">
        <f aca="true" t="shared" si="20" ref="H79:H84">IF(E79="","",IF(E79&gt;J$79,"","ESQ"))</f>
      </c>
      <c r="I79" t="s">
        <v>26</v>
      </c>
      <c r="J79" s="12">
        <v>22.3</v>
      </c>
    </row>
    <row r="80" spans="1:10" ht="12.75">
      <c r="A80" s="6">
        <v>2</v>
      </c>
      <c r="B80" s="138">
        <v>9</v>
      </c>
      <c r="C80" s="8" t="str">
        <f t="shared" si="18"/>
        <v>Sam Russell</v>
      </c>
      <c r="D80" s="8" t="str">
        <f t="shared" si="19"/>
        <v>W&amp;M</v>
      </c>
      <c r="E80" s="148">
        <v>24.4</v>
      </c>
      <c r="F80">
        <v>5</v>
      </c>
      <c r="H80" s="55">
        <f t="shared" si="20"/>
      </c>
      <c r="J80" s="12"/>
    </row>
    <row r="81" spans="1:10" ht="12.75">
      <c r="A81" s="6">
        <v>3</v>
      </c>
      <c r="B81" s="145"/>
      <c r="C81" s="8">
        <f t="shared" si="18"/>
      </c>
      <c r="D81" s="8">
        <f t="shared" si="19"/>
      </c>
      <c r="E81" s="148"/>
      <c r="F81">
        <v>4</v>
      </c>
      <c r="H81" s="55">
        <f t="shared" si="20"/>
      </c>
      <c r="J81" s="12"/>
    </row>
    <row r="82" spans="1:10" ht="12.75">
      <c r="A82" s="6">
        <v>4</v>
      </c>
      <c r="B82" s="141"/>
      <c r="C82" s="8"/>
      <c r="D82" s="8">
        <f t="shared" si="19"/>
      </c>
      <c r="E82" s="148"/>
      <c r="F82">
        <v>3</v>
      </c>
      <c r="H82" s="55">
        <f t="shared" si="20"/>
      </c>
      <c r="J82" s="12"/>
    </row>
    <row r="83" spans="1:10" ht="12.75">
      <c r="A83" s="6">
        <v>5</v>
      </c>
      <c r="B83" s="132"/>
      <c r="C83" s="8">
        <f t="shared" si="18"/>
      </c>
      <c r="D83" s="8">
        <f t="shared" si="19"/>
      </c>
      <c r="E83" s="148"/>
      <c r="F83">
        <v>2</v>
      </c>
      <c r="H83" s="55">
        <f t="shared" si="20"/>
      </c>
      <c r="J83" s="12"/>
    </row>
    <row r="84" spans="1:10" ht="12.75">
      <c r="A84" s="6">
        <v>6</v>
      </c>
      <c r="B84" s="145"/>
      <c r="C84" s="8">
        <f t="shared" si="18"/>
      </c>
      <c r="D84" s="8">
        <f t="shared" si="19"/>
      </c>
      <c r="E84" s="148"/>
      <c r="F84">
        <v>1</v>
      </c>
      <c r="H84" s="55">
        <f t="shared" si="20"/>
      </c>
      <c r="J84" s="12"/>
    </row>
    <row r="86" spans="1:10" ht="12.75">
      <c r="A86" s="14" t="s">
        <v>258</v>
      </c>
      <c r="B86" s="143"/>
      <c r="C86" s="14"/>
      <c r="D86" s="14"/>
      <c r="E86" s="143"/>
      <c r="F86" s="14"/>
      <c r="G86" s="51"/>
      <c r="H86" s="51"/>
      <c r="I86" s="14"/>
      <c r="J86" s="14"/>
    </row>
    <row r="88" spans="1:11" ht="12.75">
      <c r="A88" s="1" t="s">
        <v>0</v>
      </c>
      <c r="B88" s="134" t="s">
        <v>1</v>
      </c>
      <c r="C88" s="3" t="s">
        <v>2</v>
      </c>
      <c r="D88" s="4" t="s">
        <v>3</v>
      </c>
      <c r="E88" s="147" t="s">
        <v>4</v>
      </c>
      <c r="F88" s="16" t="s">
        <v>24</v>
      </c>
      <c r="I88" t="s">
        <v>6</v>
      </c>
      <c r="J88" s="49">
        <v>0.0027754629629629626</v>
      </c>
      <c r="K88" s="42" t="s">
        <v>259</v>
      </c>
    </row>
    <row r="89" spans="1:10" ht="12.75">
      <c r="A89" s="6">
        <v>1</v>
      </c>
      <c r="B89" s="138">
        <v>11</v>
      </c>
      <c r="C89" s="8" t="str">
        <f aca="true" t="shared" si="21" ref="C89:C100">IF(OR($B89=0,$B89=""),"",VLOOKUP($B89,sb1500m,2,FALSE))</f>
        <v>Matthew Rawlings</v>
      </c>
      <c r="D89" s="8" t="str">
        <f aca="true" t="shared" si="22" ref="D89:D100">IF(OR($B89=0,$B89=""),"",VLOOKUP($B89,sb1500m,3,FALSE))</f>
        <v>WOK</v>
      </c>
      <c r="E89" s="149">
        <v>0.002815972222222222</v>
      </c>
      <c r="F89">
        <v>6</v>
      </c>
      <c r="I89" t="s">
        <v>26</v>
      </c>
      <c r="J89" s="49">
        <v>0.0027546296296296294</v>
      </c>
    </row>
    <row r="90" spans="1:10" ht="12.75">
      <c r="A90" s="6">
        <v>2</v>
      </c>
      <c r="B90" s="138">
        <v>9</v>
      </c>
      <c r="C90" s="8" t="str">
        <f t="shared" si="21"/>
        <v>Niall Unger</v>
      </c>
      <c r="D90" s="8" t="str">
        <f t="shared" si="22"/>
        <v>W&amp;M</v>
      </c>
      <c r="E90" s="149">
        <v>0.0028217592592592595</v>
      </c>
      <c r="F90">
        <v>5</v>
      </c>
      <c r="J90" s="12"/>
    </row>
    <row r="91" spans="1:10" ht="12.75">
      <c r="A91" s="6">
        <v>3</v>
      </c>
      <c r="B91" s="145">
        <v>10</v>
      </c>
      <c r="C91" s="8" t="str">
        <f t="shared" si="21"/>
        <v>Jack Goddard</v>
      </c>
      <c r="D91" s="8" t="str">
        <f t="shared" si="22"/>
        <v>W&amp;M</v>
      </c>
      <c r="E91" s="149">
        <v>0.0028217592592592595</v>
      </c>
      <c r="F91">
        <v>4</v>
      </c>
      <c r="H91" s="55">
        <f>IF(E91="","",IF(E91&gt;J$89,"","ESQ"))</f>
      </c>
      <c r="J91" s="12"/>
    </row>
    <row r="92" spans="1:10" ht="12.75">
      <c r="A92" s="6">
        <v>4</v>
      </c>
      <c r="B92" s="141">
        <v>5</v>
      </c>
      <c r="C92" s="8" t="str">
        <f t="shared" si="21"/>
        <v>Peter Cook</v>
      </c>
      <c r="D92" s="8" t="str">
        <f t="shared" si="22"/>
        <v>RDG</v>
      </c>
      <c r="E92" s="149">
        <v>0.002870370370370371</v>
      </c>
      <c r="F92">
        <v>3</v>
      </c>
      <c r="H92" s="55">
        <f>IF(E92="","",IF(E92&gt;J$89,"","ESQ"))</f>
      </c>
      <c r="J92" s="12"/>
    </row>
    <row r="93" spans="1:10" ht="12.75">
      <c r="A93" s="6">
        <v>5</v>
      </c>
      <c r="B93" s="132">
        <v>8</v>
      </c>
      <c r="C93" s="8" t="str">
        <f t="shared" si="21"/>
        <v>Patrick Weaver</v>
      </c>
      <c r="D93" s="8" t="str">
        <f t="shared" si="22"/>
        <v>SL</v>
      </c>
      <c r="E93" s="149">
        <v>0.002988425925925926</v>
      </c>
      <c r="F93">
        <v>2</v>
      </c>
      <c r="H93" s="55">
        <f>IF(E93="","",IF(E93&gt;J$89,"","ESQ"))</f>
      </c>
      <c r="J93" s="12"/>
    </row>
    <row r="94" spans="1:10" ht="12.75">
      <c r="A94" s="6">
        <v>6</v>
      </c>
      <c r="B94" s="145">
        <v>6</v>
      </c>
      <c r="C94" s="8" t="str">
        <f t="shared" si="21"/>
        <v>Joe Steveni</v>
      </c>
      <c r="D94" s="8" t="str">
        <f t="shared" si="22"/>
        <v>RDG</v>
      </c>
      <c r="E94" s="149">
        <v>0.0031388888888888885</v>
      </c>
      <c r="F94">
        <v>1</v>
      </c>
      <c r="H94" s="55">
        <f>IF(E94="","",IF(E94&gt;J$89,"","ESQ"))</f>
      </c>
      <c r="J94" s="12"/>
    </row>
    <row r="95" spans="1:8" ht="12.75">
      <c r="A95" s="6">
        <v>7</v>
      </c>
      <c r="B95" s="301">
        <v>7</v>
      </c>
      <c r="C95" s="8" t="str">
        <f t="shared" si="21"/>
        <v>Gus Skinner</v>
      </c>
      <c r="D95" s="8" t="str">
        <f t="shared" si="22"/>
        <v>SL</v>
      </c>
      <c r="E95" s="311">
        <v>0.003180555555555556</v>
      </c>
      <c r="H95" s="55">
        <f>IF(E95="","",IF(E95&gt;J$89,"","ESQ"))</f>
      </c>
    </row>
    <row r="96" spans="1:5" ht="12.75">
      <c r="A96" s="6">
        <v>8</v>
      </c>
      <c r="C96" s="8">
        <f t="shared" si="21"/>
      </c>
      <c r="D96" s="8">
        <f t="shared" si="22"/>
      </c>
      <c r="E96" s="150"/>
    </row>
    <row r="97" spans="1:5" ht="12.75">
      <c r="A97" s="6">
        <v>9</v>
      </c>
      <c r="C97" s="8">
        <f t="shared" si="21"/>
      </c>
      <c r="D97" s="8">
        <f t="shared" si="22"/>
      </c>
      <c r="E97" s="150"/>
    </row>
    <row r="98" spans="1:5" ht="12.75">
      <c r="A98" s="6">
        <v>10</v>
      </c>
      <c r="C98" s="8">
        <f t="shared" si="21"/>
      </c>
      <c r="D98" s="8">
        <f t="shared" si="22"/>
      </c>
      <c r="E98" s="150"/>
    </row>
    <row r="99" spans="1:5" ht="12.75">
      <c r="A99" s="6">
        <v>11</v>
      </c>
      <c r="C99" s="8">
        <f t="shared" si="21"/>
      </c>
      <c r="D99" s="8">
        <f t="shared" si="22"/>
      </c>
      <c r="E99" s="150"/>
    </row>
    <row r="100" spans="1:5" ht="12.75">
      <c r="A100" s="6">
        <v>12</v>
      </c>
      <c r="C100" s="8">
        <f t="shared" si="21"/>
      </c>
      <c r="D100" s="8">
        <f t="shared" si="22"/>
      </c>
      <c r="E100" s="150"/>
    </row>
    <row r="102" spans="1:10" ht="12.75">
      <c r="A102" s="14" t="s">
        <v>261</v>
      </c>
      <c r="B102" s="143"/>
      <c r="C102" s="14"/>
      <c r="D102" s="14"/>
      <c r="E102" s="143"/>
      <c r="F102" s="14"/>
      <c r="G102" s="51"/>
      <c r="H102" s="51"/>
      <c r="I102" s="14"/>
      <c r="J102" s="14"/>
    </row>
    <row r="104" spans="1:11" ht="12.75">
      <c r="A104" s="1" t="s">
        <v>0</v>
      </c>
      <c r="B104" s="134" t="s">
        <v>1</v>
      </c>
      <c r="C104" s="3" t="s">
        <v>2</v>
      </c>
      <c r="D104" s="4" t="s">
        <v>3</v>
      </c>
      <c r="E104" s="147" t="s">
        <v>4</v>
      </c>
      <c r="F104" s="16" t="s">
        <v>24</v>
      </c>
      <c r="I104" t="s">
        <v>6</v>
      </c>
      <c r="J104" s="49">
        <v>0.003960648148148148</v>
      </c>
      <c r="K104" s="42" t="s">
        <v>349</v>
      </c>
    </row>
    <row r="105" spans="1:12" ht="12.75">
      <c r="A105" s="6">
        <v>1</v>
      </c>
      <c r="B105" s="138">
        <v>5</v>
      </c>
      <c r="C105" s="8" t="str">
        <f aca="true" t="shared" si="23" ref="C105:C116">IF(OR($B105=0,$B105=""),"",VLOOKUP($B105,sb2000msc,2,FALSE))</f>
        <v>Chey Kemp</v>
      </c>
      <c r="D105" s="8" t="str">
        <f aca="true" t="shared" si="24" ref="D105:D116">IF(OR($B105=0,$B105=""),"",VLOOKUP($B105,sb2000msc,3,FALSE))</f>
        <v>RDG</v>
      </c>
      <c r="E105" s="149">
        <v>0.00437037037037037</v>
      </c>
      <c r="F105">
        <v>6</v>
      </c>
      <c r="G105" s="55">
        <f>IF(E105="","",IF(E105&gt;J104,"","CBP"))</f>
      </c>
      <c r="I105" t="s">
        <v>26</v>
      </c>
      <c r="J105" s="49">
        <v>0.0042824074074074075</v>
      </c>
      <c r="K105" s="42" t="s">
        <v>8</v>
      </c>
      <c r="L105">
        <v>6.04</v>
      </c>
    </row>
    <row r="106" spans="1:10" ht="12.75">
      <c r="A106" s="6">
        <v>2</v>
      </c>
      <c r="B106" s="138">
        <v>10</v>
      </c>
      <c r="C106" s="8" t="str">
        <f t="shared" si="23"/>
        <v>Matt Bradly</v>
      </c>
      <c r="D106" s="8" t="str">
        <f t="shared" si="24"/>
        <v>W&amp;M</v>
      </c>
      <c r="E106" s="149">
        <v>0.004383101851851852</v>
      </c>
      <c r="F106">
        <v>5</v>
      </c>
      <c r="H106" s="55">
        <f>IF(E106="","",IF(E106&gt;J$105,"","ESQ"))</f>
      </c>
      <c r="J106" s="12"/>
    </row>
    <row r="107" spans="1:10" ht="12.75">
      <c r="A107" s="6">
        <v>3</v>
      </c>
      <c r="B107" s="145">
        <v>7</v>
      </c>
      <c r="C107" s="8" t="str">
        <f t="shared" si="23"/>
        <v>William Brockman</v>
      </c>
      <c r="D107" s="8" t="str">
        <f t="shared" si="24"/>
        <v>SL</v>
      </c>
      <c r="E107" s="149">
        <v>0.004508101851851852</v>
      </c>
      <c r="F107">
        <v>4</v>
      </c>
      <c r="H107" s="55">
        <f>IF(E107="","",IF(E107&gt;J$105,"","ESQ"))</f>
      </c>
      <c r="J107" s="12"/>
    </row>
    <row r="108" spans="1:10" ht="12.75">
      <c r="A108" s="6">
        <v>4</v>
      </c>
      <c r="B108" s="141">
        <v>13</v>
      </c>
      <c r="C108" s="8" t="str">
        <f t="shared" si="23"/>
        <v>Martin Kopernicky</v>
      </c>
      <c r="D108" s="8" t="str">
        <f t="shared" si="24"/>
        <v>Surrey</v>
      </c>
      <c r="E108" s="149">
        <v>0.004556712962962963</v>
      </c>
      <c r="F108">
        <v>3</v>
      </c>
      <c r="H108" s="55">
        <f>IF(E108="","",IF(E108&gt;J$105,"","ESQ"))</f>
      </c>
      <c r="J108" s="12"/>
    </row>
    <row r="109" spans="1:10" ht="12.75">
      <c r="A109" s="6">
        <v>5</v>
      </c>
      <c r="B109" s="132">
        <v>9</v>
      </c>
      <c r="C109" s="8" t="str">
        <f t="shared" si="23"/>
        <v>Ethan Tattersall</v>
      </c>
      <c r="D109" s="8" t="str">
        <f t="shared" si="24"/>
        <v>W&amp;M</v>
      </c>
      <c r="E109" s="149">
        <v>0.004783564814814815</v>
      </c>
      <c r="F109">
        <v>2</v>
      </c>
      <c r="H109" s="55">
        <f>IF(E109="","",IF(E109&gt;J$105,"","ESQ"))</f>
      </c>
      <c r="J109" s="12"/>
    </row>
    <row r="110" spans="1:10" ht="12.75">
      <c r="A110" s="6">
        <v>6</v>
      </c>
      <c r="B110" s="145"/>
      <c r="C110" s="8">
        <f t="shared" si="23"/>
      </c>
      <c r="D110" s="8">
        <f t="shared" si="24"/>
      </c>
      <c r="E110" s="149"/>
      <c r="F110">
        <v>1</v>
      </c>
      <c r="H110" s="55">
        <f>IF(E110="","",IF(E110&gt;J$105,"","ESQ"))</f>
      </c>
      <c r="J110" s="12"/>
    </row>
    <row r="111" spans="1:5" ht="12.75">
      <c r="A111" s="6">
        <v>7</v>
      </c>
      <c r="C111" s="8">
        <f t="shared" si="23"/>
      </c>
      <c r="D111" s="8">
        <f t="shared" si="24"/>
      </c>
      <c r="E111" s="150"/>
    </row>
    <row r="112" spans="1:5" ht="12.75">
      <c r="A112" s="6">
        <v>8</v>
      </c>
      <c r="C112" s="8">
        <f t="shared" si="23"/>
      </c>
      <c r="D112" s="8">
        <f t="shared" si="24"/>
      </c>
      <c r="E112" s="150"/>
    </row>
    <row r="113" spans="1:5" ht="12.75">
      <c r="A113" s="6">
        <v>9</v>
      </c>
      <c r="C113" s="8">
        <f t="shared" si="23"/>
      </c>
      <c r="D113" s="8">
        <f t="shared" si="24"/>
      </c>
      <c r="E113" s="150"/>
    </row>
    <row r="114" spans="1:5" ht="12.75">
      <c r="A114" s="6">
        <v>10</v>
      </c>
      <c r="C114" s="8">
        <f t="shared" si="23"/>
      </c>
      <c r="D114" s="8">
        <f t="shared" si="24"/>
      </c>
      <c r="E114" s="150"/>
    </row>
    <row r="115" spans="1:5" ht="12.75">
      <c r="A115" s="6">
        <v>11</v>
      </c>
      <c r="C115" s="8">
        <f t="shared" si="23"/>
      </c>
      <c r="D115" s="8">
        <f t="shared" si="24"/>
      </c>
      <c r="E115" s="150"/>
    </row>
    <row r="116" spans="1:5" ht="12.75">
      <c r="A116" s="6">
        <v>12</v>
      </c>
      <c r="C116" s="8">
        <f t="shared" si="23"/>
      </c>
      <c r="D116" s="8">
        <f t="shared" si="24"/>
      </c>
      <c r="E116" s="150"/>
    </row>
    <row r="119" spans="1:10" ht="12.75">
      <c r="A119" s="14" t="s">
        <v>268</v>
      </c>
      <c r="B119" s="143"/>
      <c r="C119" s="14"/>
      <c r="D119" s="14"/>
      <c r="E119" s="143"/>
      <c r="F119" s="14"/>
      <c r="G119" s="51"/>
      <c r="H119" s="51"/>
      <c r="I119" s="14"/>
      <c r="J119" s="14"/>
    </row>
    <row r="121" spans="1:11" ht="12.75">
      <c r="A121" s="1" t="s">
        <v>0</v>
      </c>
      <c r="B121" s="134" t="s">
        <v>1</v>
      </c>
      <c r="C121" s="3" t="s">
        <v>2</v>
      </c>
      <c r="D121" s="4" t="s">
        <v>3</v>
      </c>
      <c r="E121" s="147" t="s">
        <v>4</v>
      </c>
      <c r="F121" s="16" t="s">
        <v>24</v>
      </c>
      <c r="I121" t="s">
        <v>6</v>
      </c>
      <c r="J121" s="49">
        <v>0.006037037037037038</v>
      </c>
      <c r="K121" s="42" t="s">
        <v>269</v>
      </c>
    </row>
    <row r="122" spans="1:10" ht="12.75">
      <c r="A122" s="6">
        <v>1</v>
      </c>
      <c r="B122" s="138">
        <v>5</v>
      </c>
      <c r="C122" s="8" t="str">
        <f aca="true" t="shared" si="25" ref="C122:C133">IF(OR($B122=0,$B122=""),"",VLOOKUP($B122,sb3000m,2,FALSE))</f>
        <v>Sam Rodda</v>
      </c>
      <c r="D122" s="8" t="str">
        <f aca="true" t="shared" si="26" ref="D122:D132">IF(OR($B122=0,$B122=""),"",VLOOKUP($B122,sb3000m,3,FALSE))</f>
        <v>RDG</v>
      </c>
      <c r="E122" s="149">
        <v>0.006425925925925926</v>
      </c>
      <c r="F122">
        <v>6</v>
      </c>
      <c r="G122" s="55">
        <f>IF(E122="","",IF(E122&gt;J121,"","CBP"))</f>
      </c>
      <c r="H122" s="55">
        <f aca="true" t="shared" si="27" ref="H122:H127">IF(E122="","",IF(E122&gt;J$122,"","ESQ"))</f>
      </c>
      <c r="I122" t="s">
        <v>26</v>
      </c>
      <c r="J122" s="49">
        <v>0.0059722222222222225</v>
      </c>
    </row>
    <row r="123" spans="1:10" ht="12.75">
      <c r="A123" s="6">
        <v>2</v>
      </c>
      <c r="B123" s="138"/>
      <c r="C123" s="8">
        <f t="shared" si="25"/>
      </c>
      <c r="D123" s="8">
        <f t="shared" si="26"/>
      </c>
      <c r="E123" s="149"/>
      <c r="F123">
        <v>5</v>
      </c>
      <c r="H123" s="55">
        <f t="shared" si="27"/>
      </c>
      <c r="J123" s="12"/>
    </row>
    <row r="124" spans="1:10" ht="12.75">
      <c r="A124" s="6">
        <v>3</v>
      </c>
      <c r="B124" s="145"/>
      <c r="C124" s="8">
        <f t="shared" si="25"/>
      </c>
      <c r="D124" s="8">
        <f t="shared" si="26"/>
      </c>
      <c r="E124" s="149"/>
      <c r="F124">
        <v>4</v>
      </c>
      <c r="H124" s="55">
        <f t="shared" si="27"/>
      </c>
      <c r="J124" s="12"/>
    </row>
    <row r="125" spans="1:10" ht="12.75">
      <c r="A125" s="6">
        <v>4</v>
      </c>
      <c r="B125" s="141"/>
      <c r="C125" s="8">
        <f t="shared" si="25"/>
      </c>
      <c r="D125" s="8">
        <f t="shared" si="26"/>
      </c>
      <c r="E125" s="149"/>
      <c r="F125">
        <v>3</v>
      </c>
      <c r="H125" s="55">
        <f t="shared" si="27"/>
      </c>
      <c r="J125" s="12"/>
    </row>
    <row r="126" spans="1:10" ht="12.75">
      <c r="A126" s="6">
        <v>5</v>
      </c>
      <c r="B126" s="132"/>
      <c r="C126" s="8">
        <f t="shared" si="25"/>
      </c>
      <c r="D126" s="8">
        <f t="shared" si="26"/>
      </c>
      <c r="E126" s="149"/>
      <c r="F126">
        <v>2</v>
      </c>
      <c r="H126" s="55">
        <f t="shared" si="27"/>
      </c>
      <c r="J126" s="12"/>
    </row>
    <row r="127" spans="1:10" ht="12.75">
      <c r="A127" s="6">
        <v>6</v>
      </c>
      <c r="B127" s="145"/>
      <c r="C127" s="8">
        <f t="shared" si="25"/>
      </c>
      <c r="D127" s="8">
        <f t="shared" si="26"/>
      </c>
      <c r="E127" s="149"/>
      <c r="F127">
        <v>1</v>
      </c>
      <c r="H127" s="55">
        <f t="shared" si="27"/>
      </c>
      <c r="J127" s="12"/>
    </row>
    <row r="128" spans="1:5" ht="12.75">
      <c r="A128" s="6">
        <v>7</v>
      </c>
      <c r="C128" s="8">
        <f t="shared" si="25"/>
      </c>
      <c r="D128" s="8">
        <f t="shared" si="26"/>
      </c>
      <c r="E128" s="150"/>
    </row>
    <row r="129" spans="1:5" ht="12.75">
      <c r="A129" s="6">
        <v>8</v>
      </c>
      <c r="C129" s="8">
        <f t="shared" si="25"/>
      </c>
      <c r="D129" s="8">
        <f t="shared" si="26"/>
      </c>
      <c r="E129" s="150"/>
    </row>
    <row r="130" spans="1:5" ht="12.75">
      <c r="A130" s="6">
        <v>9</v>
      </c>
      <c r="C130" s="8">
        <f t="shared" si="25"/>
      </c>
      <c r="D130" s="8">
        <f t="shared" si="26"/>
      </c>
      <c r="E130" s="150"/>
    </row>
    <row r="131" spans="1:5" ht="12.75">
      <c r="A131" s="6">
        <v>10</v>
      </c>
      <c r="C131" s="8">
        <f t="shared" si="25"/>
      </c>
      <c r="D131" s="8">
        <f t="shared" si="26"/>
      </c>
      <c r="E131" s="150"/>
    </row>
    <row r="132" spans="1:5" ht="12.75">
      <c r="A132" s="6">
        <v>11</v>
      </c>
      <c r="C132" s="8">
        <f t="shared" si="25"/>
      </c>
      <c r="D132" s="8">
        <f t="shared" si="26"/>
      </c>
      <c r="E132" s="150"/>
    </row>
    <row r="133" spans="1:5" ht="12.75">
      <c r="A133" s="6">
        <v>12</v>
      </c>
      <c r="C133" s="8">
        <f t="shared" si="25"/>
      </c>
      <c r="E133" s="150"/>
    </row>
    <row r="135" spans="1:18" s="14" customFormat="1" ht="12.75">
      <c r="A135" s="14" t="s">
        <v>45</v>
      </c>
      <c r="B135" s="143"/>
      <c r="E135" s="143"/>
      <c r="G135" s="51"/>
      <c r="H135" s="51"/>
      <c r="Q135" s="51"/>
      <c r="R135" s="51"/>
    </row>
    <row r="137" ht="12.75">
      <c r="A137" s="14" t="s">
        <v>272</v>
      </c>
    </row>
    <row r="139" spans="1:11" ht="12.75">
      <c r="A139" s="1" t="s">
        <v>0</v>
      </c>
      <c r="B139" s="134" t="s">
        <v>1</v>
      </c>
      <c r="C139" s="3" t="s">
        <v>2</v>
      </c>
      <c r="D139" s="4" t="s">
        <v>3</v>
      </c>
      <c r="E139" s="147" t="s">
        <v>4</v>
      </c>
      <c r="F139" s="16" t="s">
        <v>24</v>
      </c>
      <c r="I139" t="s">
        <v>6</v>
      </c>
      <c r="J139" s="17">
        <v>64.36</v>
      </c>
      <c r="K139" s="42" t="s">
        <v>273</v>
      </c>
    </row>
    <row r="140" spans="1:10" ht="12.75">
      <c r="A140">
        <v>1</v>
      </c>
      <c r="B140" s="144">
        <v>3</v>
      </c>
      <c r="C140" s="8" t="s">
        <v>752</v>
      </c>
      <c r="D140" s="8" t="str">
        <f>IF(OR($B140=0,$B140=""),"",VLOOKUP($B140,sbhj,3,FALSE))</f>
        <v>WB</v>
      </c>
      <c r="E140" s="144">
        <v>56.41</v>
      </c>
      <c r="F140">
        <v>6</v>
      </c>
      <c r="G140" s="55">
        <f>IF(E140="","",IF(E140&lt;J139,"","CBP"))</f>
      </c>
      <c r="H140" s="55" t="str">
        <f>IF(E140="","",IF(E140&lt;J$140,"","ESQ"))</f>
        <v>ESQ</v>
      </c>
      <c r="I140" s="42" t="s">
        <v>26</v>
      </c>
      <c r="J140">
        <v>46</v>
      </c>
    </row>
    <row r="141" spans="1:8" ht="12.75">
      <c r="A141">
        <v>2</v>
      </c>
      <c r="C141" s="8">
        <f>IF(OR($B141=0,$B141=""),"",VLOOKUP($B141,sbhj,2,FALSE))</f>
      </c>
      <c r="D141" s="8">
        <f>IF(OR($B141=0,$B141=""),"",VLOOKUP($B141,sbhj,3,FALSE))</f>
      </c>
      <c r="F141">
        <v>5</v>
      </c>
      <c r="H141" s="55">
        <f>IF(E141="","",IF(E141&lt;J$149,"","ESQ"))</f>
      </c>
    </row>
    <row r="142" spans="1:8" ht="12.75">
      <c r="A142">
        <v>3</v>
      </c>
      <c r="C142" s="8">
        <f>IF(OR($B142=0,$B142=""),"",VLOOKUP($B142,sbhj,2,FALSE))</f>
      </c>
      <c r="D142" s="8">
        <f>IF(OR($B142=0,$B142=""),"",VLOOKUP($B142,sbhj,3,FALSE))</f>
      </c>
      <c r="F142">
        <v>4</v>
      </c>
      <c r="H142" s="55">
        <f>IF(E142="","",IF(E142&lt;J$149,"","ESQ"))</f>
      </c>
    </row>
    <row r="143" spans="1:8" ht="12.75">
      <c r="A143">
        <v>4</v>
      </c>
      <c r="C143" s="8">
        <f>IF(OR($B143=0,$B143=""),"",VLOOKUP($B143,sbhj,2,FALSE))</f>
      </c>
      <c r="D143" s="8">
        <f>IF(OR($B143=0,$B143=""),"",VLOOKUP($B143,sbhj,3,FALSE))</f>
      </c>
      <c r="F143">
        <v>3</v>
      </c>
      <c r="H143" s="55">
        <f>IF(E143="","",IF(E143&lt;J$149,"","ESQ"))</f>
      </c>
    </row>
    <row r="144" spans="1:8" ht="12.75">
      <c r="A144">
        <v>5</v>
      </c>
      <c r="C144" s="8">
        <f>IF(OR($B144=0,$B144=""),"",VLOOKUP($B144,sbhj,2,FALSE))</f>
      </c>
      <c r="D144" s="8">
        <f>IF(OR($B144=0,$B144=""),"",VLOOKUP($B144,sbhj,3,FALSE))</f>
      </c>
      <c r="F144">
        <v>2</v>
      </c>
      <c r="H144" s="55">
        <f>IF(E144="","",IF(E144&lt;J$149,"","ESQ"))</f>
      </c>
    </row>
    <row r="146" spans="1:10" ht="12.75">
      <c r="A146" s="14" t="s">
        <v>141</v>
      </c>
      <c r="B146" s="143"/>
      <c r="C146" s="14"/>
      <c r="D146" s="14"/>
      <c r="E146" s="143"/>
      <c r="F146" s="14"/>
      <c r="G146" s="51"/>
      <c r="H146" s="51"/>
      <c r="I146" s="14"/>
      <c r="J146" s="14"/>
    </row>
    <row r="148" spans="1:11" ht="12.75">
      <c r="A148" s="1" t="s">
        <v>0</v>
      </c>
      <c r="B148" s="134" t="s">
        <v>1</v>
      </c>
      <c r="C148" s="3" t="s">
        <v>2</v>
      </c>
      <c r="D148" s="4" t="s">
        <v>3</v>
      </c>
      <c r="E148" s="147" t="s">
        <v>4</v>
      </c>
      <c r="F148" s="16" t="s">
        <v>24</v>
      </c>
      <c r="I148" t="s">
        <v>6</v>
      </c>
      <c r="J148" s="17">
        <v>2.11</v>
      </c>
      <c r="K148" s="42" t="s">
        <v>275</v>
      </c>
    </row>
    <row r="149" spans="1:10" ht="12.75">
      <c r="A149" s="6">
        <v>1</v>
      </c>
      <c r="B149" s="138">
        <v>7</v>
      </c>
      <c r="C149" s="8" t="str">
        <f aca="true" t="shared" si="28" ref="C149:C160">IF(OR($B149=0,$B149=""),"",VLOOKUP($B149,sbhj,2,FALSE))</f>
        <v>Charlie Broad</v>
      </c>
      <c r="D149" s="8" t="str">
        <f aca="true" t="shared" si="29" ref="D149:D160">IF(OR($B149=0,$B149=""),"",VLOOKUP($B149,sbhj,3,FALSE))</f>
        <v>SL</v>
      </c>
      <c r="E149" s="151">
        <v>1.7</v>
      </c>
      <c r="F149">
        <v>6</v>
      </c>
      <c r="G149" s="55">
        <f>IF(E149="","",IF(E149&lt;J148,"","CBP"))</f>
      </c>
      <c r="H149" s="55">
        <f aca="true" t="shared" si="30" ref="H149:H154">IF(E149="","",IF(E149&lt;J$149,"","ESQ"))</f>
      </c>
      <c r="I149" t="s">
        <v>26</v>
      </c>
      <c r="J149" s="17">
        <v>1.94</v>
      </c>
    </row>
    <row r="150" spans="1:10" ht="12.75">
      <c r="A150" s="6">
        <v>2</v>
      </c>
      <c r="B150" s="138">
        <v>11</v>
      </c>
      <c r="C150" s="8" t="str">
        <f t="shared" si="28"/>
        <v>S Oguuleta</v>
      </c>
      <c r="D150" s="8" t="str">
        <f t="shared" si="29"/>
        <v>WOK</v>
      </c>
      <c r="E150" s="151">
        <v>1.65</v>
      </c>
      <c r="F150">
        <v>5</v>
      </c>
      <c r="H150" s="55">
        <f t="shared" si="30"/>
      </c>
      <c r="J150" s="12"/>
    </row>
    <row r="151" spans="1:10" ht="12.75">
      <c r="A151" s="6">
        <v>3</v>
      </c>
      <c r="B151" s="145">
        <v>9</v>
      </c>
      <c r="C151" s="8" t="str">
        <f t="shared" si="28"/>
        <v>Jonathan Evans</v>
      </c>
      <c r="D151" s="8" t="str">
        <f t="shared" si="29"/>
        <v>W&amp;M</v>
      </c>
      <c r="E151" s="151">
        <v>1.6</v>
      </c>
      <c r="F151">
        <v>4</v>
      </c>
      <c r="H151" s="55">
        <f t="shared" si="30"/>
      </c>
      <c r="J151" s="12"/>
    </row>
    <row r="152" spans="1:10" ht="12.75">
      <c r="A152" s="6">
        <v>4</v>
      </c>
      <c r="B152" s="141"/>
      <c r="C152" s="8">
        <f t="shared" si="28"/>
      </c>
      <c r="D152" s="8">
        <f t="shared" si="29"/>
      </c>
      <c r="E152" s="151"/>
      <c r="F152">
        <v>3</v>
      </c>
      <c r="H152" s="55">
        <f t="shared" si="30"/>
      </c>
      <c r="J152" s="12"/>
    </row>
    <row r="153" spans="1:10" ht="12.75">
      <c r="A153" s="6">
        <v>5</v>
      </c>
      <c r="B153" s="132"/>
      <c r="C153" s="8">
        <f t="shared" si="28"/>
      </c>
      <c r="D153" s="8">
        <f t="shared" si="29"/>
      </c>
      <c r="E153" s="151"/>
      <c r="F153">
        <v>2</v>
      </c>
      <c r="H153" s="55">
        <f t="shared" si="30"/>
      </c>
      <c r="J153" s="12"/>
    </row>
    <row r="154" spans="1:10" ht="12.75">
      <c r="A154" s="6">
        <v>6</v>
      </c>
      <c r="B154" s="145"/>
      <c r="C154" s="8">
        <f t="shared" si="28"/>
      </c>
      <c r="D154" s="8">
        <f t="shared" si="29"/>
      </c>
      <c r="E154" s="151"/>
      <c r="F154">
        <v>1</v>
      </c>
      <c r="H154" s="55">
        <f t="shared" si="30"/>
      </c>
      <c r="J154" s="12"/>
    </row>
    <row r="155" spans="1:5" ht="12.75">
      <c r="A155" s="6">
        <v>7</v>
      </c>
      <c r="C155" s="8">
        <f t="shared" si="28"/>
      </c>
      <c r="D155" s="8">
        <f t="shared" si="29"/>
      </c>
      <c r="E155" s="153"/>
    </row>
    <row r="156" spans="1:5" ht="12.75">
      <c r="A156" s="6">
        <v>8</v>
      </c>
      <c r="C156" s="8">
        <f t="shared" si="28"/>
      </c>
      <c r="D156" s="8">
        <f t="shared" si="29"/>
      </c>
      <c r="E156" s="153"/>
    </row>
    <row r="157" spans="1:5" ht="12.75">
      <c r="A157" s="6">
        <v>9</v>
      </c>
      <c r="C157" s="8">
        <f t="shared" si="28"/>
      </c>
      <c r="D157" s="8">
        <f t="shared" si="29"/>
      </c>
      <c r="E157" s="153"/>
    </row>
    <row r="158" spans="1:5" ht="12.75">
      <c r="A158" s="6">
        <v>10</v>
      </c>
      <c r="C158" s="8">
        <f t="shared" si="28"/>
      </c>
      <c r="D158" s="8">
        <f t="shared" si="29"/>
      </c>
      <c r="E158" s="153"/>
    </row>
    <row r="159" spans="1:5" ht="12.75">
      <c r="A159" s="6">
        <v>11</v>
      </c>
      <c r="C159" s="8">
        <f t="shared" si="28"/>
      </c>
      <c r="D159" s="8">
        <f t="shared" si="29"/>
      </c>
      <c r="E159" s="153"/>
    </row>
    <row r="160" spans="1:5" ht="12.75">
      <c r="A160" s="6">
        <v>12</v>
      </c>
      <c r="C160" s="8">
        <f t="shared" si="28"/>
      </c>
      <c r="D160" s="8">
        <f t="shared" si="29"/>
      </c>
      <c r="E160" s="153"/>
    </row>
    <row r="162" spans="1:10" ht="12.75">
      <c r="A162" s="14" t="s">
        <v>143</v>
      </c>
      <c r="B162" s="143"/>
      <c r="C162" s="14"/>
      <c r="D162" s="14"/>
      <c r="E162" s="143"/>
      <c r="F162" s="14"/>
      <c r="G162" s="51"/>
      <c r="H162" s="51"/>
      <c r="I162" s="14"/>
      <c r="J162" s="14"/>
    </row>
    <row r="164" spans="1:11" ht="12.75">
      <c r="A164" s="1" t="s">
        <v>0</v>
      </c>
      <c r="B164" s="134" t="s">
        <v>1</v>
      </c>
      <c r="C164" s="3" t="s">
        <v>2</v>
      </c>
      <c r="D164" s="4" t="s">
        <v>3</v>
      </c>
      <c r="E164" s="147" t="s">
        <v>4</v>
      </c>
      <c r="F164" s="16" t="s">
        <v>24</v>
      </c>
      <c r="I164" t="s">
        <v>6</v>
      </c>
      <c r="J164" s="17">
        <v>4.4</v>
      </c>
      <c r="K164" s="42" t="s">
        <v>350</v>
      </c>
    </row>
    <row r="165" spans="1:10" ht="12.75">
      <c r="A165" s="6">
        <v>1</v>
      </c>
      <c r="B165" s="138"/>
      <c r="C165" s="8">
        <f aca="true" t="shared" si="31" ref="C165:C170">IF(OR($B165=0,$B165=""),"",VLOOKUP($B165,sbpv,2,FALSE))</f>
      </c>
      <c r="D165" s="8">
        <f aca="true" t="shared" si="32" ref="D165:D170">IF(OR($B165=0,$B165=""),"",VLOOKUP($B165,sbpv,3,FALSE))</f>
      </c>
      <c r="E165" s="151"/>
      <c r="F165">
        <v>6</v>
      </c>
      <c r="G165" s="55">
        <f>IF(E165="","",IF(E165&lt;J164,"","CBP"))</f>
      </c>
      <c r="H165" s="55">
        <f aca="true" t="shared" si="33" ref="H165:H170">IF(E165="","",IF(E165&lt;J$165,"","ESQ"))</f>
      </c>
      <c r="I165" t="s">
        <v>26</v>
      </c>
      <c r="J165" s="17">
        <v>4.1</v>
      </c>
    </row>
    <row r="166" spans="1:10" ht="12.75">
      <c r="A166" s="6">
        <v>2</v>
      </c>
      <c r="B166" s="138"/>
      <c r="C166" s="8">
        <f t="shared" si="31"/>
      </c>
      <c r="D166" s="8">
        <f t="shared" si="32"/>
      </c>
      <c r="E166" s="151"/>
      <c r="F166">
        <v>5</v>
      </c>
      <c r="H166" s="55">
        <f t="shared" si="33"/>
      </c>
      <c r="J166" s="12"/>
    </row>
    <row r="167" spans="1:10" ht="12.75">
      <c r="A167" s="6">
        <v>3</v>
      </c>
      <c r="B167" s="145"/>
      <c r="C167" s="8">
        <f t="shared" si="31"/>
      </c>
      <c r="D167" s="8">
        <f t="shared" si="32"/>
      </c>
      <c r="E167" s="151"/>
      <c r="F167">
        <v>4</v>
      </c>
      <c r="H167" s="55">
        <f t="shared" si="33"/>
      </c>
      <c r="J167" s="12"/>
    </row>
    <row r="168" spans="1:10" ht="12.75">
      <c r="A168" s="6">
        <v>4</v>
      </c>
      <c r="B168" s="141"/>
      <c r="C168" s="8">
        <f t="shared" si="31"/>
      </c>
      <c r="D168" s="8">
        <f t="shared" si="32"/>
      </c>
      <c r="E168" s="151"/>
      <c r="F168">
        <v>3</v>
      </c>
      <c r="H168" s="55">
        <f t="shared" si="33"/>
      </c>
      <c r="J168" s="12"/>
    </row>
    <row r="169" spans="1:10" ht="12.75">
      <c r="A169" s="6">
        <v>5</v>
      </c>
      <c r="B169" s="132"/>
      <c r="C169" s="8">
        <f t="shared" si="31"/>
      </c>
      <c r="D169" s="8">
        <f t="shared" si="32"/>
      </c>
      <c r="E169" s="151"/>
      <c r="F169">
        <v>2</v>
      </c>
      <c r="H169" s="55">
        <f t="shared" si="33"/>
      </c>
      <c r="J169" s="12"/>
    </row>
    <row r="170" spans="1:10" ht="12.75">
      <c r="A170" s="6">
        <v>6</v>
      </c>
      <c r="B170" s="145"/>
      <c r="C170" s="8">
        <f t="shared" si="31"/>
      </c>
      <c r="D170" s="8">
        <f t="shared" si="32"/>
      </c>
      <c r="E170" s="151"/>
      <c r="F170">
        <v>1</v>
      </c>
      <c r="H170" s="55">
        <f t="shared" si="33"/>
      </c>
      <c r="J170" s="12"/>
    </row>
    <row r="173" spans="1:10" ht="12.75">
      <c r="A173" s="14" t="s">
        <v>52</v>
      </c>
      <c r="B173" s="143"/>
      <c r="C173" s="14"/>
      <c r="D173" s="14"/>
      <c r="E173" s="143"/>
      <c r="F173" s="14"/>
      <c r="G173" s="51"/>
      <c r="H173" s="51"/>
      <c r="I173" s="14"/>
      <c r="J173" s="14"/>
    </row>
    <row r="175" spans="1:11" ht="12.75">
      <c r="A175" s="1" t="s">
        <v>0</v>
      </c>
      <c r="B175" s="134" t="s">
        <v>1</v>
      </c>
      <c r="C175" s="3" t="s">
        <v>2</v>
      </c>
      <c r="D175" s="4" t="s">
        <v>3</v>
      </c>
      <c r="E175" s="147" t="s">
        <v>4</v>
      </c>
      <c r="F175" s="16" t="s">
        <v>24</v>
      </c>
      <c r="I175" t="s">
        <v>6</v>
      </c>
      <c r="J175" s="17">
        <v>44.58</v>
      </c>
      <c r="K175" s="42" t="s">
        <v>285</v>
      </c>
    </row>
    <row r="176" spans="1:10" ht="12.75">
      <c r="A176" s="6">
        <v>1</v>
      </c>
      <c r="B176" s="138"/>
      <c r="C176" s="8">
        <f aca="true" t="shared" si="34" ref="C176:C187">IF(OR($B176=0,$B176=""),"",VLOOKUP($B176,sbdt,2,FALSE))</f>
      </c>
      <c r="D176" s="8">
        <f aca="true" t="shared" si="35" ref="D176:D187">IF(OR($B176=0,$B176=""),"",VLOOKUP($B176,sbdt,3,FALSE))</f>
      </c>
      <c r="E176" s="151"/>
      <c r="F176">
        <v>6</v>
      </c>
      <c r="G176" s="55">
        <f>IF(E176="","",IF(E176&lt;J175,"","CBP"))</f>
      </c>
      <c r="H176" s="55">
        <f aca="true" t="shared" si="36" ref="H176:H181">IF(E176="","",IF(E176&lt;J$176,"","ESQ"))</f>
      </c>
      <c r="I176" t="s">
        <v>26</v>
      </c>
      <c r="J176" s="17">
        <v>40</v>
      </c>
    </row>
    <row r="177" spans="1:10" ht="12.75">
      <c r="A177" s="6">
        <v>2</v>
      </c>
      <c r="B177" s="138"/>
      <c r="C177" s="8">
        <f t="shared" si="34"/>
      </c>
      <c r="D177" s="8">
        <f t="shared" si="35"/>
      </c>
      <c r="E177" s="151"/>
      <c r="F177">
        <v>5</v>
      </c>
      <c r="H177" s="55">
        <f t="shared" si="36"/>
      </c>
      <c r="J177" s="12"/>
    </row>
    <row r="178" spans="1:10" ht="12.75">
      <c r="A178" s="6">
        <v>3</v>
      </c>
      <c r="B178" s="145"/>
      <c r="C178" s="8">
        <f t="shared" si="34"/>
      </c>
      <c r="D178" s="8">
        <f t="shared" si="35"/>
      </c>
      <c r="E178" s="151"/>
      <c r="F178">
        <v>4</v>
      </c>
      <c r="H178" s="55">
        <f t="shared" si="36"/>
      </c>
      <c r="J178" s="12"/>
    </row>
    <row r="179" spans="1:10" ht="12.75">
      <c r="A179" s="6">
        <v>4</v>
      </c>
      <c r="B179" s="141"/>
      <c r="C179" s="8">
        <f t="shared" si="34"/>
      </c>
      <c r="D179" s="8">
        <f t="shared" si="35"/>
      </c>
      <c r="E179" s="151"/>
      <c r="F179">
        <v>3</v>
      </c>
      <c r="H179" s="55">
        <f t="shared" si="36"/>
      </c>
      <c r="J179" s="12"/>
    </row>
    <row r="180" spans="1:10" ht="12.75">
      <c r="A180" s="6">
        <v>5</v>
      </c>
      <c r="B180" s="132"/>
      <c r="C180" s="8">
        <f t="shared" si="34"/>
      </c>
      <c r="D180" s="8">
        <f t="shared" si="35"/>
      </c>
      <c r="E180" s="151"/>
      <c r="F180">
        <v>2</v>
      </c>
      <c r="H180" s="55">
        <f t="shared" si="36"/>
      </c>
      <c r="J180" s="12"/>
    </row>
    <row r="181" spans="1:10" ht="12.75">
      <c r="A181" s="6">
        <v>6</v>
      </c>
      <c r="B181" s="145"/>
      <c r="C181" s="8">
        <f t="shared" si="34"/>
      </c>
      <c r="D181" s="8">
        <f t="shared" si="35"/>
      </c>
      <c r="E181" s="151"/>
      <c r="F181">
        <v>1</v>
      </c>
      <c r="H181" s="55">
        <f t="shared" si="36"/>
      </c>
      <c r="J181" s="12"/>
    </row>
    <row r="182" spans="1:5" ht="12.75">
      <c r="A182" s="6">
        <v>7</v>
      </c>
      <c r="C182" s="8">
        <f t="shared" si="34"/>
      </c>
      <c r="D182" s="8">
        <f t="shared" si="35"/>
      </c>
      <c r="E182" s="153"/>
    </row>
    <row r="183" spans="1:5" ht="12.75">
      <c r="A183" s="6">
        <v>8</v>
      </c>
      <c r="C183" s="8">
        <f t="shared" si="34"/>
      </c>
      <c r="D183" s="8">
        <f t="shared" si="35"/>
      </c>
      <c r="E183" s="153"/>
    </row>
    <row r="184" spans="1:5" ht="12.75">
      <c r="A184" s="6">
        <v>9</v>
      </c>
      <c r="C184" s="8">
        <f t="shared" si="34"/>
      </c>
      <c r="D184" s="8">
        <f t="shared" si="35"/>
      </c>
      <c r="E184" s="153"/>
    </row>
    <row r="185" spans="1:5" ht="12.75">
      <c r="A185" s="6">
        <v>10</v>
      </c>
      <c r="C185" s="8">
        <f t="shared" si="34"/>
      </c>
      <c r="D185" s="8">
        <f t="shared" si="35"/>
      </c>
      <c r="E185" s="153"/>
    </row>
    <row r="186" spans="1:5" ht="12.75">
      <c r="A186" s="6">
        <v>11</v>
      </c>
      <c r="C186" s="8">
        <f t="shared" si="34"/>
      </c>
      <c r="D186" s="8">
        <f t="shared" si="35"/>
      </c>
      <c r="E186" s="153"/>
    </row>
    <row r="187" spans="1:5" ht="12.75">
      <c r="A187" s="6">
        <v>12</v>
      </c>
      <c r="C187" s="8">
        <f t="shared" si="34"/>
      </c>
      <c r="D187" s="8">
        <f t="shared" si="35"/>
      </c>
      <c r="E187" s="153"/>
    </row>
    <row r="189" spans="1:10" ht="12.75">
      <c r="A189" s="14" t="s">
        <v>53</v>
      </c>
      <c r="B189" s="143"/>
      <c r="C189" s="14"/>
      <c r="D189" s="14"/>
      <c r="E189" s="143"/>
      <c r="F189" s="14"/>
      <c r="G189" s="51"/>
      <c r="H189" s="51"/>
      <c r="I189" s="14"/>
      <c r="J189" s="14"/>
    </row>
    <row r="191" spans="1:11" ht="12.75">
      <c r="A191" s="1" t="s">
        <v>0</v>
      </c>
      <c r="B191" s="134" t="s">
        <v>1</v>
      </c>
      <c r="C191" s="3" t="s">
        <v>2</v>
      </c>
      <c r="D191" s="4" t="s">
        <v>3</v>
      </c>
      <c r="E191" s="147" t="s">
        <v>4</v>
      </c>
      <c r="F191" s="16" t="s">
        <v>24</v>
      </c>
      <c r="I191" t="s">
        <v>6</v>
      </c>
      <c r="J191" s="17">
        <v>6.87</v>
      </c>
      <c r="K191" s="42" t="s">
        <v>287</v>
      </c>
    </row>
    <row r="192" spans="1:10" ht="12.75">
      <c r="A192" s="6">
        <v>1</v>
      </c>
      <c r="B192" s="138">
        <v>9</v>
      </c>
      <c r="C192" s="8" t="str">
        <f aca="true" t="shared" si="37" ref="C192:C203">IF(OR($B192=0,$B192=""),"",VLOOKUP($B192,sblj,2,FALSE))</f>
        <v>Sam Challis</v>
      </c>
      <c r="D192" s="8" t="str">
        <f aca="true" t="shared" si="38" ref="D192:D203">IF(OR($B192=0,$B192=""),"",VLOOKUP($B192,sblj,3,FALSE))</f>
        <v>W&amp;M</v>
      </c>
      <c r="E192" s="151">
        <v>6.75</v>
      </c>
      <c r="F192">
        <v>6</v>
      </c>
      <c r="G192" s="55">
        <f>IF(E192="","",IF(E192&lt;J191,"","CBP"))</f>
      </c>
      <c r="H192" s="55">
        <f aca="true" t="shared" si="39" ref="H192:H197">IF(E192="","",IF(E192&lt;J$192,"","ESQ"))</f>
      </c>
      <c r="I192" t="s">
        <v>26</v>
      </c>
      <c r="J192" s="17">
        <v>6.8</v>
      </c>
    </row>
    <row r="193" spans="1:10" ht="12.75">
      <c r="A193" s="6">
        <v>2</v>
      </c>
      <c r="B193" s="138">
        <v>11</v>
      </c>
      <c r="C193" s="8" t="str">
        <f t="shared" si="37"/>
        <v>Alex Waters</v>
      </c>
      <c r="D193" s="8" t="str">
        <f t="shared" si="38"/>
        <v>WOK</v>
      </c>
      <c r="E193" s="151">
        <v>5.39</v>
      </c>
      <c r="F193">
        <v>5</v>
      </c>
      <c r="H193" s="55">
        <f t="shared" si="39"/>
      </c>
      <c r="J193" s="12"/>
    </row>
    <row r="194" spans="1:10" ht="12.75">
      <c r="A194" s="6">
        <v>3</v>
      </c>
      <c r="B194" s="145"/>
      <c r="C194" s="8">
        <f t="shared" si="37"/>
      </c>
      <c r="D194" s="8">
        <f t="shared" si="38"/>
      </c>
      <c r="E194" s="151"/>
      <c r="F194">
        <v>4</v>
      </c>
      <c r="H194" s="55">
        <f t="shared" si="39"/>
      </c>
      <c r="J194" s="12"/>
    </row>
    <row r="195" spans="1:10" ht="12.75">
      <c r="A195" s="6">
        <v>4</v>
      </c>
      <c r="B195" s="141"/>
      <c r="C195" s="8">
        <f t="shared" si="37"/>
      </c>
      <c r="D195" s="8">
        <f t="shared" si="38"/>
      </c>
      <c r="E195" s="151"/>
      <c r="F195">
        <v>3</v>
      </c>
      <c r="H195" s="55">
        <f t="shared" si="39"/>
      </c>
      <c r="J195" s="12"/>
    </row>
    <row r="196" spans="1:10" ht="12.75">
      <c r="A196" s="6">
        <v>5</v>
      </c>
      <c r="B196" s="132"/>
      <c r="C196" s="8">
        <f t="shared" si="37"/>
      </c>
      <c r="D196" s="8">
        <f t="shared" si="38"/>
      </c>
      <c r="E196" s="151"/>
      <c r="F196">
        <v>2</v>
      </c>
      <c r="H196" s="55">
        <f t="shared" si="39"/>
      </c>
      <c r="J196" s="12"/>
    </row>
    <row r="197" spans="1:10" ht="12.75">
      <c r="A197" s="6">
        <v>6</v>
      </c>
      <c r="B197" s="145"/>
      <c r="C197" s="8">
        <f t="shared" si="37"/>
      </c>
      <c r="D197" s="8">
        <f t="shared" si="38"/>
      </c>
      <c r="E197" s="151"/>
      <c r="F197">
        <v>1</v>
      </c>
      <c r="H197" s="55">
        <f t="shared" si="39"/>
      </c>
      <c r="J197" s="12"/>
    </row>
    <row r="198" spans="1:5" ht="12.75">
      <c r="A198" s="6">
        <v>7</v>
      </c>
      <c r="C198" s="8">
        <f t="shared" si="37"/>
      </c>
      <c r="D198" s="8">
        <f t="shared" si="38"/>
      </c>
      <c r="E198" s="153"/>
    </row>
    <row r="199" spans="1:5" ht="12.75">
      <c r="A199" s="6">
        <v>8</v>
      </c>
      <c r="C199" s="8">
        <f t="shared" si="37"/>
      </c>
      <c r="D199" s="8">
        <f t="shared" si="38"/>
      </c>
      <c r="E199" s="153"/>
    </row>
    <row r="200" spans="1:5" ht="12.75">
      <c r="A200" s="6">
        <v>9</v>
      </c>
      <c r="C200" s="8">
        <f t="shared" si="37"/>
      </c>
      <c r="D200" s="8">
        <f t="shared" si="38"/>
      </c>
      <c r="E200" s="153"/>
    </row>
    <row r="201" spans="1:5" ht="12.75">
      <c r="A201" s="6">
        <v>10</v>
      </c>
      <c r="C201" s="8">
        <f t="shared" si="37"/>
      </c>
      <c r="D201" s="8">
        <f t="shared" si="38"/>
      </c>
      <c r="E201" s="153"/>
    </row>
    <row r="202" spans="1:5" ht="12.75">
      <c r="A202" s="6">
        <v>11</v>
      </c>
      <c r="C202" s="8">
        <f t="shared" si="37"/>
      </c>
      <c r="D202" s="8">
        <f t="shared" si="38"/>
      </c>
      <c r="E202" s="153"/>
    </row>
    <row r="203" spans="1:5" ht="12.75">
      <c r="A203" s="6">
        <v>12</v>
      </c>
      <c r="C203" s="8">
        <f t="shared" si="37"/>
      </c>
      <c r="D203" s="8">
        <f t="shared" si="38"/>
      </c>
      <c r="E203" s="153"/>
    </row>
    <row r="206" spans="1:10" ht="12.75">
      <c r="A206" s="14" t="s">
        <v>58</v>
      </c>
      <c r="B206" s="143"/>
      <c r="C206" s="14"/>
      <c r="D206" s="14"/>
      <c r="E206" s="143"/>
      <c r="F206" s="14"/>
      <c r="G206" s="51"/>
      <c r="H206" s="51"/>
      <c r="I206" s="14"/>
      <c r="J206" s="14"/>
    </row>
    <row r="208" spans="1:11" ht="12.75">
      <c r="A208" s="1" t="s">
        <v>0</v>
      </c>
      <c r="B208" s="134" t="s">
        <v>1</v>
      </c>
      <c r="C208" s="3" t="s">
        <v>2</v>
      </c>
      <c r="D208" s="4" t="s">
        <v>3</v>
      </c>
      <c r="E208" s="147" t="s">
        <v>4</v>
      </c>
      <c r="F208" s="16" t="s">
        <v>24</v>
      </c>
      <c r="I208" t="s">
        <v>6</v>
      </c>
      <c r="J208" s="17">
        <v>15.28</v>
      </c>
      <c r="K208" s="42" t="s">
        <v>293</v>
      </c>
    </row>
    <row r="209" spans="1:10" ht="12.75">
      <c r="A209" s="6">
        <v>1</v>
      </c>
      <c r="B209" s="138">
        <v>7</v>
      </c>
      <c r="C209" s="8" t="str">
        <f aca="true" t="shared" si="40" ref="C209:C220">IF(OR($B209=0,$B209=""),"",VLOOKUP($B209,sbtj,2,FALSE))</f>
        <v>Noah Folefac</v>
      </c>
      <c r="D209" s="8" t="str">
        <f aca="true" t="shared" si="41" ref="D209:D220">IF(OR($B209=0,$B209=""),"",VLOOKUP($B209,sbtj,3,FALSE))</f>
        <v>SL</v>
      </c>
      <c r="E209" s="151">
        <v>12.15</v>
      </c>
      <c r="F209">
        <v>6</v>
      </c>
      <c r="G209" s="55">
        <f>IF(E209="","",IF(E209&lt;J208,"","CBP"))</f>
      </c>
      <c r="H209" s="55">
        <f aca="true" t="shared" si="42" ref="H209:H214">IF(E209="","",IF(E209&lt;J$209,"","ESQ"))</f>
      </c>
      <c r="I209" t="s">
        <v>26</v>
      </c>
      <c r="J209" s="17">
        <v>13.9</v>
      </c>
    </row>
    <row r="210" spans="1:10" ht="12.75">
      <c r="A210" s="6">
        <v>2</v>
      </c>
      <c r="B210" s="138"/>
      <c r="C210" s="8">
        <f t="shared" si="40"/>
      </c>
      <c r="D210" s="8">
        <f t="shared" si="41"/>
      </c>
      <c r="E210" s="151"/>
      <c r="F210">
        <v>5</v>
      </c>
      <c r="H210" s="55">
        <f t="shared" si="42"/>
      </c>
      <c r="J210" s="12"/>
    </row>
    <row r="211" spans="1:10" ht="12.75">
      <c r="A211" s="6">
        <v>3</v>
      </c>
      <c r="B211" s="145"/>
      <c r="C211" s="8">
        <f t="shared" si="40"/>
      </c>
      <c r="D211" s="8">
        <f t="shared" si="41"/>
      </c>
      <c r="E211" s="151"/>
      <c r="F211">
        <v>4</v>
      </c>
      <c r="H211" s="55">
        <f t="shared" si="42"/>
      </c>
      <c r="J211" s="12"/>
    </row>
    <row r="212" spans="1:10" ht="12.75">
      <c r="A212" s="6">
        <v>4</v>
      </c>
      <c r="B212" s="141"/>
      <c r="C212" s="8">
        <f t="shared" si="40"/>
      </c>
      <c r="D212" s="8">
        <f t="shared" si="41"/>
      </c>
      <c r="E212" s="151"/>
      <c r="F212">
        <v>3</v>
      </c>
      <c r="H212" s="55">
        <f t="shared" si="42"/>
      </c>
      <c r="J212" s="12"/>
    </row>
    <row r="213" spans="1:10" ht="12.75">
      <c r="A213" s="6">
        <v>5</v>
      </c>
      <c r="B213" s="132"/>
      <c r="C213" s="8">
        <f t="shared" si="40"/>
      </c>
      <c r="D213" s="8">
        <f t="shared" si="41"/>
      </c>
      <c r="E213" s="151"/>
      <c r="F213">
        <v>2</v>
      </c>
      <c r="H213" s="55">
        <f t="shared" si="42"/>
      </c>
      <c r="J213" s="12"/>
    </row>
    <row r="214" spans="1:10" ht="12.75">
      <c r="A214" s="6">
        <v>6</v>
      </c>
      <c r="B214" s="145"/>
      <c r="C214" s="8">
        <f t="shared" si="40"/>
      </c>
      <c r="D214" s="8">
        <f t="shared" si="41"/>
      </c>
      <c r="E214" s="151"/>
      <c r="F214">
        <v>1</v>
      </c>
      <c r="H214" s="55">
        <f t="shared" si="42"/>
      </c>
      <c r="J214" s="12"/>
    </row>
    <row r="215" spans="1:5" ht="12.75">
      <c r="A215" s="6">
        <v>7</v>
      </c>
      <c r="C215" s="8">
        <f t="shared" si="40"/>
      </c>
      <c r="D215" s="8">
        <f t="shared" si="41"/>
      </c>
      <c r="E215" s="153"/>
    </row>
    <row r="216" spans="1:5" ht="12.75">
      <c r="A216" s="6">
        <v>8</v>
      </c>
      <c r="C216" s="8">
        <f t="shared" si="40"/>
      </c>
      <c r="D216" s="8">
        <f t="shared" si="41"/>
      </c>
      <c r="E216" s="153"/>
    </row>
    <row r="217" spans="1:5" ht="12.75">
      <c r="A217" s="6">
        <v>9</v>
      </c>
      <c r="C217" s="8">
        <f t="shared" si="40"/>
      </c>
      <c r="D217" s="8">
        <f t="shared" si="41"/>
      </c>
      <c r="E217" s="153"/>
    </row>
    <row r="218" spans="1:5" ht="12.75">
      <c r="A218" s="6">
        <v>10</v>
      </c>
      <c r="C218" s="8">
        <f t="shared" si="40"/>
      </c>
      <c r="D218" s="8">
        <f t="shared" si="41"/>
      </c>
      <c r="E218" s="153"/>
    </row>
    <row r="219" spans="1:5" ht="12.75">
      <c r="A219" s="6">
        <v>11</v>
      </c>
      <c r="C219" s="8">
        <f t="shared" si="40"/>
      </c>
      <c r="D219" s="8">
        <f t="shared" si="41"/>
      </c>
      <c r="E219" s="153"/>
    </row>
    <row r="220" spans="1:5" ht="12.75">
      <c r="A220" s="6">
        <v>12</v>
      </c>
      <c r="C220" s="8">
        <f t="shared" si="40"/>
      </c>
      <c r="D220" s="8">
        <f t="shared" si="41"/>
      </c>
      <c r="E220" s="153"/>
    </row>
    <row r="222" spans="1:10" ht="12.75">
      <c r="A222" s="14" t="s">
        <v>145</v>
      </c>
      <c r="B222" s="143"/>
      <c r="C222" s="14"/>
      <c r="D222" s="14"/>
      <c r="E222" s="143"/>
      <c r="F222" s="14"/>
      <c r="G222" s="51"/>
      <c r="H222" s="51"/>
      <c r="I222" s="14"/>
      <c r="J222" s="14"/>
    </row>
    <row r="224" spans="1:11" ht="12.75">
      <c r="A224" s="1" t="s">
        <v>0</v>
      </c>
      <c r="B224" s="134" t="s">
        <v>1</v>
      </c>
      <c r="C224" s="3" t="s">
        <v>2</v>
      </c>
      <c r="D224" s="4" t="s">
        <v>3</v>
      </c>
      <c r="E224" s="147" t="s">
        <v>4</v>
      </c>
      <c r="F224" s="16" t="s">
        <v>24</v>
      </c>
      <c r="I224" t="s">
        <v>6</v>
      </c>
      <c r="J224" s="17">
        <v>14.1</v>
      </c>
      <c r="K224" s="42" t="s">
        <v>291</v>
      </c>
    </row>
    <row r="225" spans="1:10" ht="12.75">
      <c r="A225" s="6">
        <v>1</v>
      </c>
      <c r="B225" s="138">
        <v>5</v>
      </c>
      <c r="C225" s="8" t="str">
        <f aca="true" t="shared" si="43" ref="C225:C236">IF(OR($B225=0,$B225=""),"",VLOOKUP($B225,sbsp,2,FALSE))</f>
        <v>Charlie Ashdown-Taylor</v>
      </c>
      <c r="D225" s="8" t="str">
        <f aca="true" t="shared" si="44" ref="D225:D236">IF(OR($B225=0,$B225=""),"",VLOOKUP($B225,sbsp,3,FALSE))</f>
        <v>RDG</v>
      </c>
      <c r="E225" s="151">
        <v>12.61</v>
      </c>
      <c r="F225">
        <v>6</v>
      </c>
      <c r="G225" s="55">
        <f>IF(E225="","",IF(E225&lt;J224,"","CBP"))</f>
      </c>
      <c r="H225" s="55">
        <f aca="true" t="shared" si="45" ref="H225:H230">IF(E225="","",IF(E225&lt;J$225,"","ESQ"))</f>
      </c>
      <c r="I225" t="s">
        <v>26</v>
      </c>
      <c r="J225" s="17">
        <v>13</v>
      </c>
    </row>
    <row r="226" spans="1:10" ht="12.75">
      <c r="A226" s="6">
        <v>2</v>
      </c>
      <c r="B226" s="138">
        <v>11</v>
      </c>
      <c r="C226" s="8" t="str">
        <f t="shared" si="43"/>
        <v>Alex Spratley-Kemp</v>
      </c>
      <c r="D226" s="8" t="str">
        <f t="shared" si="44"/>
        <v>WOK</v>
      </c>
      <c r="E226" s="151">
        <v>12.14</v>
      </c>
      <c r="F226">
        <v>5</v>
      </c>
      <c r="H226" s="55">
        <f t="shared" si="45"/>
      </c>
      <c r="J226" s="12"/>
    </row>
    <row r="227" spans="1:10" ht="12.75">
      <c r="A227" s="6">
        <v>3</v>
      </c>
      <c r="B227" s="145"/>
      <c r="C227" s="8">
        <f t="shared" si="43"/>
      </c>
      <c r="D227" s="8">
        <f t="shared" si="44"/>
      </c>
      <c r="E227" s="151"/>
      <c r="F227">
        <v>4</v>
      </c>
      <c r="H227" s="55">
        <f t="shared" si="45"/>
      </c>
      <c r="J227" s="12"/>
    </row>
    <row r="228" spans="1:10" ht="12.75">
      <c r="A228" s="6">
        <v>4</v>
      </c>
      <c r="B228" s="141"/>
      <c r="C228" s="8">
        <f t="shared" si="43"/>
      </c>
      <c r="D228" s="8">
        <f t="shared" si="44"/>
      </c>
      <c r="E228" s="151"/>
      <c r="F228">
        <v>3</v>
      </c>
      <c r="H228" s="55">
        <f t="shared" si="45"/>
      </c>
      <c r="J228" s="12"/>
    </row>
    <row r="229" spans="1:10" ht="12.75">
      <c r="A229" s="6">
        <v>5</v>
      </c>
      <c r="B229" s="132"/>
      <c r="C229" s="8">
        <f t="shared" si="43"/>
      </c>
      <c r="D229" s="8">
        <f t="shared" si="44"/>
      </c>
      <c r="E229" s="151"/>
      <c r="F229">
        <v>2</v>
      </c>
      <c r="H229" s="55">
        <f t="shared" si="45"/>
      </c>
      <c r="J229" s="12"/>
    </row>
    <row r="230" spans="1:10" ht="12.75">
      <c r="A230" s="6">
        <v>6</v>
      </c>
      <c r="B230" s="145"/>
      <c r="C230" s="8">
        <f t="shared" si="43"/>
      </c>
      <c r="D230" s="8">
        <f t="shared" si="44"/>
      </c>
      <c r="E230" s="151"/>
      <c r="F230">
        <v>1</v>
      </c>
      <c r="H230" s="55">
        <f t="shared" si="45"/>
      </c>
      <c r="J230" s="12"/>
    </row>
    <row r="231" spans="1:5" ht="12.75">
      <c r="A231" s="6">
        <v>7</v>
      </c>
      <c r="C231" s="8">
        <f t="shared" si="43"/>
      </c>
      <c r="D231" s="8">
        <f t="shared" si="44"/>
      </c>
      <c r="E231" s="153"/>
    </row>
    <row r="232" spans="1:5" ht="12.75">
      <c r="A232" s="6">
        <v>8</v>
      </c>
      <c r="C232" s="8">
        <f t="shared" si="43"/>
      </c>
      <c r="D232" s="8">
        <f t="shared" si="44"/>
      </c>
      <c r="E232" s="153"/>
    </row>
    <row r="233" spans="1:5" ht="12.75">
      <c r="A233" s="6">
        <v>9</v>
      </c>
      <c r="C233" s="8">
        <f t="shared" si="43"/>
      </c>
      <c r="D233" s="8">
        <f t="shared" si="44"/>
      </c>
      <c r="E233" s="153"/>
    </row>
    <row r="234" spans="1:5" ht="12.75">
      <c r="A234" s="6">
        <v>10</v>
      </c>
      <c r="C234" s="8">
        <f t="shared" si="43"/>
      </c>
      <c r="D234" s="8">
        <f t="shared" si="44"/>
      </c>
      <c r="E234" s="153"/>
    </row>
    <row r="235" spans="1:5" ht="12.75">
      <c r="A235" s="6">
        <v>11</v>
      </c>
      <c r="C235" s="8">
        <f t="shared" si="43"/>
      </c>
      <c r="D235" s="8">
        <f t="shared" si="44"/>
      </c>
      <c r="E235" s="153"/>
    </row>
    <row r="236" spans="1:5" ht="12.75">
      <c r="A236" s="6">
        <v>12</v>
      </c>
      <c r="C236" s="8">
        <f t="shared" si="43"/>
      </c>
      <c r="D236" s="8">
        <f t="shared" si="44"/>
      </c>
      <c r="E236" s="153"/>
    </row>
    <row r="238" spans="1:10" ht="12.75">
      <c r="A238" s="14" t="s">
        <v>64</v>
      </c>
      <c r="B238" s="143"/>
      <c r="C238" s="14"/>
      <c r="D238" s="14"/>
      <c r="E238" s="143"/>
      <c r="F238" s="14"/>
      <c r="G238" s="51"/>
      <c r="H238" s="51"/>
      <c r="I238" s="14"/>
      <c r="J238" s="14"/>
    </row>
    <row r="240" spans="1:11" ht="12.75">
      <c r="A240" s="1" t="s">
        <v>0</v>
      </c>
      <c r="B240" s="134" t="s">
        <v>1</v>
      </c>
      <c r="C240" s="3" t="s">
        <v>2</v>
      </c>
      <c r="D240" s="4" t="s">
        <v>3</v>
      </c>
      <c r="E240" s="147" t="s">
        <v>4</v>
      </c>
      <c r="F240" s="16" t="s">
        <v>24</v>
      </c>
      <c r="I240" t="s">
        <v>6</v>
      </c>
      <c r="J240" s="17">
        <v>58.66</v>
      </c>
      <c r="K240" s="42" t="s">
        <v>299</v>
      </c>
    </row>
    <row r="241" spans="1:10" ht="12.75">
      <c r="A241" s="6">
        <v>1</v>
      </c>
      <c r="B241" s="138">
        <v>7</v>
      </c>
      <c r="C241" s="8" t="str">
        <f aca="true" t="shared" si="46" ref="C241:C252">IF(OR($B241=0,$B241=""),"",VLOOKUP($B241,sbjt,2,FALSE))</f>
        <v>Ry Otake</v>
      </c>
      <c r="D241" s="8" t="str">
        <f aca="true" t="shared" si="47" ref="D241:D252">IF(OR($B241=0,$B241=""),"",VLOOKUP($B241,sbjt,3,FALSE))</f>
        <v>SL</v>
      </c>
      <c r="E241" s="151">
        <v>38.44</v>
      </c>
      <c r="F241">
        <v>6</v>
      </c>
      <c r="G241" s="55">
        <f>IF(E241="","",IF(E241&lt;J240,"","CBP"))</f>
      </c>
      <c r="H241" s="55">
        <f aca="true" t="shared" si="48" ref="H241:H246">IF(E241="","",IF(E241&lt;J$241,"","ESQ"))</f>
      </c>
      <c r="I241" t="s">
        <v>26</v>
      </c>
      <c r="J241" s="17">
        <v>53</v>
      </c>
    </row>
    <row r="242" spans="1:10" ht="12.75">
      <c r="A242" s="6">
        <v>2</v>
      </c>
      <c r="B242" s="138"/>
      <c r="C242" s="8">
        <f t="shared" si="46"/>
      </c>
      <c r="D242" s="8">
        <f t="shared" si="47"/>
      </c>
      <c r="E242" s="151"/>
      <c r="F242">
        <v>5</v>
      </c>
      <c r="H242" s="55">
        <f t="shared" si="48"/>
      </c>
      <c r="J242" s="12"/>
    </row>
    <row r="243" spans="1:10" ht="12.75">
      <c r="A243" s="6">
        <v>3</v>
      </c>
      <c r="B243" s="145"/>
      <c r="C243" s="8">
        <f t="shared" si="46"/>
      </c>
      <c r="D243" s="8">
        <f t="shared" si="47"/>
      </c>
      <c r="E243" s="151"/>
      <c r="F243">
        <v>4</v>
      </c>
      <c r="H243" s="55">
        <f t="shared" si="48"/>
      </c>
      <c r="J243" s="12"/>
    </row>
    <row r="244" spans="1:10" ht="12.75">
      <c r="A244" s="6">
        <v>4</v>
      </c>
      <c r="B244" s="141"/>
      <c r="C244" s="8">
        <f t="shared" si="46"/>
      </c>
      <c r="D244" s="8">
        <f t="shared" si="47"/>
      </c>
      <c r="E244" s="151"/>
      <c r="F244">
        <v>3</v>
      </c>
      <c r="H244" s="55">
        <f t="shared" si="48"/>
      </c>
      <c r="J244" s="12"/>
    </row>
    <row r="245" spans="1:10" ht="12.75">
      <c r="A245" s="6">
        <v>5</v>
      </c>
      <c r="B245" s="132"/>
      <c r="C245" s="8">
        <f t="shared" si="46"/>
      </c>
      <c r="D245" s="8">
        <f t="shared" si="47"/>
      </c>
      <c r="E245" s="151"/>
      <c r="F245">
        <v>2</v>
      </c>
      <c r="H245" s="55">
        <f t="shared" si="48"/>
      </c>
      <c r="J245" s="12"/>
    </row>
    <row r="246" spans="1:10" ht="12.75">
      <c r="A246" s="6">
        <v>6</v>
      </c>
      <c r="B246" s="145"/>
      <c r="C246" s="8">
        <f t="shared" si="46"/>
      </c>
      <c r="D246" s="8">
        <f t="shared" si="47"/>
      </c>
      <c r="E246" s="151"/>
      <c r="F246">
        <v>1</v>
      </c>
      <c r="H246" s="55">
        <f t="shared" si="48"/>
      </c>
      <c r="J246" s="12"/>
    </row>
    <row r="247" spans="1:5" ht="12.75">
      <c r="A247" s="6">
        <v>7</v>
      </c>
      <c r="C247" s="8">
        <f t="shared" si="46"/>
      </c>
      <c r="D247" s="8">
        <f t="shared" si="47"/>
      </c>
      <c r="E247" s="153"/>
    </row>
    <row r="248" spans="1:5" ht="12.75">
      <c r="A248" s="6">
        <v>8</v>
      </c>
      <c r="C248" s="8">
        <f t="shared" si="46"/>
      </c>
      <c r="D248" s="8">
        <f t="shared" si="47"/>
      </c>
      <c r="E248" s="153"/>
    </row>
    <row r="249" spans="1:5" ht="12.75">
      <c r="A249" s="6">
        <v>9</v>
      </c>
      <c r="C249" s="8">
        <f t="shared" si="46"/>
      </c>
      <c r="D249" s="8">
        <f t="shared" si="47"/>
      </c>
      <c r="E249" s="153"/>
    </row>
    <row r="250" spans="1:5" ht="12.75">
      <c r="A250" s="6">
        <v>10</v>
      </c>
      <c r="C250" s="8">
        <f t="shared" si="46"/>
      </c>
      <c r="D250" s="8">
        <f t="shared" si="47"/>
      </c>
      <c r="E250" s="153"/>
    </row>
    <row r="251" spans="1:5" ht="12.75">
      <c r="A251" s="6">
        <v>11</v>
      </c>
      <c r="C251" s="8">
        <f t="shared" si="46"/>
      </c>
      <c r="D251" s="8">
        <f t="shared" si="47"/>
      </c>
      <c r="E251" s="153"/>
    </row>
    <row r="252" spans="1:5" ht="12.75">
      <c r="A252" s="6">
        <v>12</v>
      </c>
      <c r="C252" s="8">
        <f t="shared" si="46"/>
      </c>
      <c r="D252" s="8">
        <f t="shared" si="47"/>
      </c>
      <c r="E252" s="153"/>
    </row>
  </sheetData>
  <sheetProtection selectLockedCells="1"/>
  <printOptions/>
  <pageMargins left="0" right="0" top="1.4566929133858268" bottom="0" header="0.5118110236220472" footer="0.5118110236220472"/>
  <pageSetup horizontalDpi="300" verticalDpi="300" orientation="landscape" paperSize="9" r:id="rId2"/>
  <headerFooter alignWithMargins="0">
    <oddHeader>&amp;L&amp;G&amp;CBerkshire Schools Track &amp; &amp; Field Championships - June 12 2010, Palmer Park
Senior Boys (U19) Full Results</oddHeader>
  </headerFooter>
  <rowBreaks count="4" manualBreakCount="4">
    <brk id="55" max="255" man="1"/>
    <brk id="85" max="255" man="1"/>
    <brk id="134" max="255" man="1"/>
    <brk id="188" max="255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1:AB22"/>
  <sheetViews>
    <sheetView zoomScalePageLayoutView="0" workbookViewId="0" topLeftCell="A2">
      <selection activeCell="V20" sqref="A1:V20"/>
    </sheetView>
  </sheetViews>
  <sheetFormatPr defaultColWidth="9.140625" defaultRowHeight="12.75"/>
  <cols>
    <col min="1" max="1" width="5.57421875" style="27" customWidth="1"/>
    <col min="2" max="2" width="6.00390625" style="27" customWidth="1"/>
    <col min="3" max="3" width="5.8515625" style="27" customWidth="1"/>
    <col min="4" max="4" width="5.421875" style="27" customWidth="1"/>
    <col min="5" max="5" width="8.8515625" style="27" customWidth="1"/>
    <col min="6" max="6" width="3.57421875" style="27" customWidth="1"/>
    <col min="7" max="7" width="5.28125" style="27" customWidth="1"/>
    <col min="8" max="8" width="8.8515625" style="27" customWidth="1"/>
    <col min="9" max="9" width="3.140625" style="27" customWidth="1"/>
    <col min="10" max="10" width="5.421875" style="27" customWidth="1"/>
    <col min="11" max="11" width="8.8515625" style="27" customWidth="1"/>
    <col min="12" max="12" width="3.28125" style="27" customWidth="1"/>
    <col min="13" max="13" width="5.28125" style="27" customWidth="1"/>
    <col min="14" max="14" width="8.8515625" style="27" customWidth="1"/>
    <col min="15" max="15" width="3.00390625" style="27" customWidth="1"/>
    <col min="16" max="16" width="5.7109375" style="27" customWidth="1"/>
    <col min="17" max="17" width="6.00390625" style="27" customWidth="1"/>
    <col min="18" max="18" width="3.8515625" style="27" customWidth="1"/>
    <col min="19" max="19" width="5.421875" style="27" customWidth="1"/>
    <col min="20" max="20" width="6.140625" style="27" customWidth="1"/>
    <col min="21" max="21" width="3.7109375" style="27" customWidth="1"/>
    <col min="22" max="22" width="5.421875" style="27" customWidth="1"/>
    <col min="23" max="23" width="3.140625" style="27" customWidth="1"/>
    <col min="24" max="24" width="3.7109375" style="27" customWidth="1"/>
    <col min="25" max="25" width="3.8515625" style="27" customWidth="1"/>
    <col min="26" max="26" width="3.7109375" style="27" customWidth="1"/>
    <col min="27" max="27" width="4.00390625" style="27" customWidth="1"/>
    <col min="28" max="28" width="3.7109375" style="27" customWidth="1"/>
  </cols>
  <sheetData>
    <row r="1" spans="1:23" ht="20.25">
      <c r="A1" s="25" t="s">
        <v>129</v>
      </c>
      <c r="B1" s="26"/>
      <c r="C1" s="26"/>
      <c r="D1" s="26"/>
      <c r="G1" s="28"/>
      <c r="V1" s="37"/>
      <c r="W1" s="124" t="s">
        <v>17</v>
      </c>
    </row>
    <row r="2" spans="1:28" s="14" customFormat="1" ht="13.5">
      <c r="A2" s="30" t="s">
        <v>15</v>
      </c>
      <c r="B2" s="31" t="s">
        <v>6</v>
      </c>
      <c r="C2" s="31" t="s">
        <v>7</v>
      </c>
      <c r="D2" s="31" t="s">
        <v>8</v>
      </c>
      <c r="E2" s="32" t="s">
        <v>9</v>
      </c>
      <c r="F2" s="30"/>
      <c r="G2" s="32"/>
      <c r="H2" s="32" t="s">
        <v>10</v>
      </c>
      <c r="I2" s="30"/>
      <c r="J2" s="30"/>
      <c r="K2" s="30" t="s">
        <v>11</v>
      </c>
      <c r="L2" s="30"/>
      <c r="M2" s="30"/>
      <c r="N2" s="32" t="s">
        <v>12</v>
      </c>
      <c r="O2" s="30"/>
      <c r="P2" s="32"/>
      <c r="Q2" s="32" t="s">
        <v>13</v>
      </c>
      <c r="R2" s="30"/>
      <c r="S2" s="30"/>
      <c r="T2" s="30" t="s">
        <v>14</v>
      </c>
      <c r="U2" s="30"/>
      <c r="V2" s="123"/>
      <c r="W2" s="125" t="s">
        <v>16</v>
      </c>
      <c r="X2" s="33" t="s">
        <v>18</v>
      </c>
      <c r="Y2" s="33" t="s">
        <v>19</v>
      </c>
      <c r="Z2" s="33" t="s">
        <v>20</v>
      </c>
      <c r="AA2" s="33" t="s">
        <v>21</v>
      </c>
      <c r="AB2" s="33" t="s">
        <v>22</v>
      </c>
    </row>
    <row r="3" spans="1:28" ht="18" customHeight="1">
      <c r="A3" s="33" t="s">
        <v>65</v>
      </c>
      <c r="B3" s="34">
        <v>10.6</v>
      </c>
      <c r="C3" s="34">
        <v>11.1</v>
      </c>
      <c r="D3" s="34">
        <v>10.9</v>
      </c>
      <c r="E3" s="48" t="str">
        <f>sb!$C69</f>
        <v>Ramone Jordan</v>
      </c>
      <c r="F3" s="48" t="str">
        <f>sb!$D69</f>
        <v>RDG</v>
      </c>
      <c r="G3" s="48">
        <f>sb!$E69</f>
        <v>11.5</v>
      </c>
      <c r="H3" s="48" t="str">
        <f>sb!$C70</f>
        <v>Charlie Crawford</v>
      </c>
      <c r="I3" s="48" t="str">
        <f>sb!$D70</f>
        <v>SL</v>
      </c>
      <c r="J3" s="48">
        <f>sb!$E70</f>
        <v>11.7</v>
      </c>
      <c r="K3" s="48" t="str">
        <f>sb!$C71</f>
        <v>A Akuoka</v>
      </c>
      <c r="L3" s="48" t="str">
        <f>sb!$D71</f>
        <v>RDG</v>
      </c>
      <c r="M3" s="48">
        <f>sb!$E71</f>
        <v>11.9</v>
      </c>
      <c r="N3" s="48" t="str">
        <f>sb!$C72</f>
        <v>T Bosnan</v>
      </c>
      <c r="O3" s="48" t="str">
        <f>sb!$D72</f>
        <v>RDG</v>
      </c>
      <c r="P3" s="48">
        <f>sb!$E72</f>
        <v>12.7</v>
      </c>
      <c r="Q3" s="48">
        <f>sb!$C73</f>
      </c>
      <c r="R3" s="48">
        <f>sb!$D73</f>
      </c>
      <c r="S3" s="48">
        <f>sb!$E73</f>
        <v>0</v>
      </c>
      <c r="T3" s="48">
        <f>sb!$C74</f>
      </c>
      <c r="U3" s="48">
        <f>sb!$D74</f>
      </c>
      <c r="V3" s="48">
        <f>sb!$E74</f>
        <v>0</v>
      </c>
      <c r="W3" s="125">
        <f>IF($F3="wb",6,0)+IF($I3="wb",5,0)+IF($L3="wb",4,0)+IF($O3="wb",3,0)+IF($R3="wb",2,0)+IF($U3="wb",1,0)</f>
        <v>0</v>
      </c>
      <c r="X3" s="33">
        <f>IF($F3="rdg",6,0)+IF($I3="rdg",5,0)+IF($L3="rdg",4,0)+IF($O3="rdg",3,0)+IF($R3="rdg",2,0)+IF($U3="rdg",1,0)</f>
        <v>13</v>
      </c>
      <c r="Y3" s="33">
        <f>IF($F3="wok",6,0)+IF($I3="wok",5,0)+IF($L3="wok",4,0)+IF($O3="wok",3,0)+IF($R3="wok",2,0)+IF($U3="wok",1,0)</f>
        <v>0</v>
      </c>
      <c r="Z3" s="33">
        <f>IF($F3="brk",6,0)+IF($I3="brk",5,0)+IF($L3="brk",4,0)+IF($O3="brk",3,0)+IF($R3="brk",2,0)+IF($U3="brk",1,0)</f>
        <v>0</v>
      </c>
      <c r="AA3" s="33">
        <f>IF($F3="w&amp;m",6,0)+IF($I3="w&amp;m",5,0)+IF($L3="w&amp;m",4,0)+IF($O3="w&amp;m",3,0)+IF($R3="w&amp;m",2,0)+IF($U3="w&amp;m",1,0)</f>
        <v>0</v>
      </c>
      <c r="AB3" s="33">
        <f>IF($F3="sl",6,0)+IF($I3="sl",5,0)+IF($L3="sl",4,0)+IF($O3="sl",3,0)+IF($R3="sl",2,0)+IF($U3="sl",1,0)</f>
        <v>5</v>
      </c>
    </row>
    <row r="4" spans="1:28" ht="18" customHeight="1">
      <c r="A4" s="33" t="s">
        <v>5</v>
      </c>
      <c r="B4" s="34">
        <v>22.2</v>
      </c>
      <c r="C4" s="34">
        <v>22.2</v>
      </c>
      <c r="D4" s="34">
        <v>21.9</v>
      </c>
      <c r="E4" s="48" t="str">
        <f>sb!$C79</f>
        <v>Dan Stoller</v>
      </c>
      <c r="F4" s="48" t="str">
        <f>sb!$D79</f>
        <v>WOK</v>
      </c>
      <c r="G4" s="48">
        <f>sb!$E79</f>
        <v>23.7</v>
      </c>
      <c r="H4" s="48" t="str">
        <f>sb!$C80</f>
        <v>Sam Russell</v>
      </c>
      <c r="I4" s="48" t="str">
        <f>sb!$D80</f>
        <v>W&amp;M</v>
      </c>
      <c r="J4" s="48">
        <f>sb!$E80</f>
        <v>24.4</v>
      </c>
      <c r="K4" s="48">
        <f>sb!$C81</f>
      </c>
      <c r="L4" s="48">
        <f>sb!$D81</f>
      </c>
      <c r="M4" s="48">
        <f>sb!$E81</f>
        <v>0</v>
      </c>
      <c r="N4" s="48">
        <f>sb!$C82</f>
        <v>0</v>
      </c>
      <c r="O4" s="48">
        <f>sb!$D82</f>
      </c>
      <c r="P4" s="48">
        <f>sb!$E82</f>
        <v>0</v>
      </c>
      <c r="Q4" s="48">
        <f>sb!$C83</f>
      </c>
      <c r="R4" s="48">
        <f>sb!$D83</f>
      </c>
      <c r="S4" s="48">
        <f>sb!$E83</f>
        <v>0</v>
      </c>
      <c r="T4" s="48">
        <f>sb!$C84</f>
      </c>
      <c r="U4" s="48">
        <f>sb!$D84</f>
      </c>
      <c r="V4" s="48">
        <f>sb!$E84</f>
        <v>0</v>
      </c>
      <c r="W4" s="125">
        <f aca="true" t="shared" si="0" ref="W4:W19">IF($F4="wb",6,0)+IF($I4="wb",5,0)+IF($L4="wb",4,0)+IF($O4="wb",3,0)+IF($R4="wb",2,0)+IF($U4="wb",1,0)</f>
        <v>0</v>
      </c>
      <c r="X4" s="33">
        <f aca="true" t="shared" si="1" ref="X4:X19">IF($F4="rdg",6,0)+IF($I4="rdg",5,0)+IF($L4="rdg",4,0)+IF($O4="rdg",3,0)+IF($R4="rdg",2,0)+IF($U4="rdg",1,0)</f>
        <v>0</v>
      </c>
      <c r="Y4" s="33">
        <f aca="true" t="shared" si="2" ref="Y4:Y19">IF($F4="wok",6,0)+IF($I4="wok",5,0)+IF($L4="wok",4,0)+IF($O4="wok",3,0)+IF($R4="wok",2,0)+IF($U4="wok",1,0)</f>
        <v>6</v>
      </c>
      <c r="Z4" s="33">
        <f aca="true" t="shared" si="3" ref="Z4:Z19">IF($F4="brk",6,0)+IF($I4="brk",5,0)+IF($L4="brk",4,0)+IF($O4="brk",3,0)+IF($R4="brk",2,0)+IF($U4="brk",1,0)</f>
        <v>0</v>
      </c>
      <c r="AA4" s="33">
        <f aca="true" t="shared" si="4" ref="AA4:AA19">IF($F4="w&amp;m",6,0)+IF($I4="w&amp;m",5,0)+IF($L4="w&amp;m",4,0)+IF($O4="w&amp;m",3,0)+IF($R4="w&amp;m",2,0)+IF($U4="w&amp;m",1,0)</f>
        <v>5</v>
      </c>
      <c r="AB4" s="33">
        <f aca="true" t="shared" si="5" ref="AB4:AB19">IF($F4="sl",6,0)+IF($I4="sl",5,0)+IF($L4="sl",4,0)+IF($O4="sl",3,0)+IF($R4="sl",2,0)+IF($U4="sl",1,0)</f>
        <v>0</v>
      </c>
    </row>
    <row r="5" spans="1:28" ht="18" customHeight="1">
      <c r="A5" s="33" t="s">
        <v>76</v>
      </c>
      <c r="B5" s="34">
        <v>48.5</v>
      </c>
      <c r="C5" s="34">
        <v>49.5</v>
      </c>
      <c r="D5" s="34">
        <v>48.8</v>
      </c>
      <c r="E5" s="48" t="str">
        <f>sb!$C59</f>
        <v>Alex Haydock-Wilson </v>
      </c>
      <c r="F5" s="48" t="str">
        <f>sb!$D59</f>
        <v>W&amp;M</v>
      </c>
      <c r="G5" s="48">
        <f>sb!$E59</f>
        <v>50.1</v>
      </c>
      <c r="H5" s="48" t="str">
        <f>sb!$C60</f>
        <v>Blaine Lewis-Shallow</v>
      </c>
      <c r="I5" s="48" t="str">
        <f>sb!$D60</f>
        <v>WB</v>
      </c>
      <c r="J5" s="48">
        <f>sb!$E60</f>
        <v>50.6</v>
      </c>
      <c r="K5" s="48" t="str">
        <f>sb!$C61</f>
        <v>M Collins</v>
      </c>
      <c r="L5" s="48" t="str">
        <f>sb!$D61</f>
        <v>BRK</v>
      </c>
      <c r="M5" s="48">
        <f>sb!$E61</f>
        <v>53.7</v>
      </c>
      <c r="N5" s="48">
        <f>sb!$C62</f>
      </c>
      <c r="O5" s="48">
        <f>sb!$D62</f>
      </c>
      <c r="P5" s="48">
        <f>sb!$E62</f>
        <v>0</v>
      </c>
      <c r="Q5" s="48">
        <f>sb!$C63</f>
      </c>
      <c r="R5" s="48">
        <f>sb!$D63</f>
      </c>
      <c r="S5" s="48">
        <f>sb!$E63</f>
        <v>0</v>
      </c>
      <c r="T5" s="48">
        <f>sb!$C64</f>
      </c>
      <c r="U5" s="48">
        <f>sb!$D64</f>
      </c>
      <c r="V5" s="48">
        <f>sb!$E64</f>
        <v>0</v>
      </c>
      <c r="W5" s="125">
        <f t="shared" si="0"/>
        <v>5</v>
      </c>
      <c r="X5" s="33">
        <f t="shared" si="1"/>
        <v>0</v>
      </c>
      <c r="Y5" s="33">
        <f t="shared" si="2"/>
        <v>0</v>
      </c>
      <c r="Z5" s="33">
        <f t="shared" si="3"/>
        <v>4</v>
      </c>
      <c r="AA5" s="33">
        <f t="shared" si="4"/>
        <v>6</v>
      </c>
      <c r="AB5" s="33">
        <f t="shared" si="5"/>
        <v>0</v>
      </c>
    </row>
    <row r="6" spans="1:28" ht="18" customHeight="1">
      <c r="A6" s="33" t="s">
        <v>66</v>
      </c>
      <c r="B6" s="56">
        <v>0.0012962962962962963</v>
      </c>
      <c r="C6" s="56">
        <v>0.0013194444444444443</v>
      </c>
      <c r="D6" s="56">
        <v>0.0012962962962962963</v>
      </c>
      <c r="E6" s="48" t="str">
        <f>sb!$C33</f>
        <v>Alexander RB Bevan</v>
      </c>
      <c r="F6" s="48" t="str">
        <f>sb!$D33</f>
        <v>SL</v>
      </c>
      <c r="G6" s="50">
        <f>sb!$E33</f>
        <v>0.0014097222222222221</v>
      </c>
      <c r="H6" s="48">
        <f>sb!$C34</f>
      </c>
      <c r="I6" s="48">
        <f>sb!$D34</f>
      </c>
      <c r="J6" s="50">
        <f>sb!$E34</f>
        <v>0</v>
      </c>
      <c r="K6" s="48">
        <f>sb!$C35</f>
      </c>
      <c r="L6" s="48">
        <f>sb!$D35</f>
      </c>
      <c r="M6" s="50">
        <f>sb!$E35</f>
        <v>0</v>
      </c>
      <c r="N6" s="48">
        <f>sb!$C36</f>
      </c>
      <c r="O6" s="48">
        <f>sb!$D36</f>
      </c>
      <c r="P6" s="50">
        <f>sb!$E36</f>
        <v>0</v>
      </c>
      <c r="Q6" s="48">
        <f>sb!$C37</f>
      </c>
      <c r="R6" s="48">
        <f>sb!$D37</f>
      </c>
      <c r="S6" s="50">
        <f>sb!$E37</f>
        <v>0</v>
      </c>
      <c r="T6" s="48">
        <f>sb!$C38</f>
      </c>
      <c r="U6" s="48">
        <f>sb!$D38</f>
      </c>
      <c r="V6" s="50">
        <f>sb!$E38</f>
        <v>0</v>
      </c>
      <c r="W6" s="125">
        <f t="shared" si="0"/>
        <v>0</v>
      </c>
      <c r="X6" s="33">
        <f t="shared" si="1"/>
        <v>0</v>
      </c>
      <c r="Y6" s="33">
        <f t="shared" si="2"/>
        <v>0</v>
      </c>
      <c r="Z6" s="33">
        <f t="shared" si="3"/>
        <v>0</v>
      </c>
      <c r="AA6" s="33">
        <f t="shared" si="4"/>
        <v>0</v>
      </c>
      <c r="AB6" s="33">
        <f t="shared" si="5"/>
        <v>6</v>
      </c>
    </row>
    <row r="7" spans="1:28" ht="18" customHeight="1">
      <c r="A7" s="33" t="s">
        <v>67</v>
      </c>
      <c r="B7" s="56">
        <v>0.002700231481481481</v>
      </c>
      <c r="C7" s="56">
        <v>0.0027546296296296294</v>
      </c>
      <c r="D7" s="56">
        <v>0.0027199074074074074</v>
      </c>
      <c r="E7" s="48" t="str">
        <f>sb!$C89</f>
        <v>Matthew Rawlings</v>
      </c>
      <c r="F7" s="48" t="str">
        <f>sb!$D89</f>
        <v>WOK</v>
      </c>
      <c r="G7" s="50">
        <f>sb!$E89</f>
        <v>0.002815972222222222</v>
      </c>
      <c r="H7" s="48" t="str">
        <f>sb!$C90</f>
        <v>Niall Unger</v>
      </c>
      <c r="I7" s="48" t="str">
        <f>sb!$D90</f>
        <v>W&amp;M</v>
      </c>
      <c r="J7" s="50">
        <f>sb!$E90</f>
        <v>0.0028217592592592595</v>
      </c>
      <c r="K7" s="48" t="str">
        <f>sb!$C91</f>
        <v>Jack Goddard</v>
      </c>
      <c r="L7" s="48" t="str">
        <f>sb!$D91</f>
        <v>W&amp;M</v>
      </c>
      <c r="M7" s="50">
        <f>sb!$E91</f>
        <v>0.0028217592592592595</v>
      </c>
      <c r="N7" s="48" t="str">
        <f>sb!$C92</f>
        <v>Peter Cook</v>
      </c>
      <c r="O7" s="48" t="str">
        <f>sb!$D92</f>
        <v>RDG</v>
      </c>
      <c r="P7" s="50">
        <f>sb!$E92</f>
        <v>0.002870370370370371</v>
      </c>
      <c r="Q7" s="48" t="str">
        <f>sb!$C93</f>
        <v>Patrick Weaver</v>
      </c>
      <c r="R7" s="48" t="str">
        <f>sb!$D93</f>
        <v>SL</v>
      </c>
      <c r="S7" s="50">
        <f>sb!$E93</f>
        <v>0.002988425925925926</v>
      </c>
      <c r="T7" s="48" t="str">
        <f>sb!$C94</f>
        <v>Joe Steveni</v>
      </c>
      <c r="U7" s="48" t="str">
        <f>sb!$D94</f>
        <v>RDG</v>
      </c>
      <c r="V7" s="50">
        <f>sb!$E94</f>
        <v>0.0031388888888888885</v>
      </c>
      <c r="W7" s="125">
        <f t="shared" si="0"/>
        <v>0</v>
      </c>
      <c r="X7" s="33">
        <f t="shared" si="1"/>
        <v>4</v>
      </c>
      <c r="Y7" s="33">
        <f t="shared" si="2"/>
        <v>6</v>
      </c>
      <c r="Z7" s="33">
        <f t="shared" si="3"/>
        <v>0</v>
      </c>
      <c r="AA7" s="33">
        <f t="shared" si="4"/>
        <v>9</v>
      </c>
      <c r="AB7" s="33">
        <f t="shared" si="5"/>
        <v>2</v>
      </c>
    </row>
    <row r="8" spans="1:28" ht="18" customHeight="1">
      <c r="A8" s="33" t="s">
        <v>82</v>
      </c>
      <c r="B8" s="56">
        <v>0.005957175925925926</v>
      </c>
      <c r="C8" s="56">
        <v>0.0059722222222222225</v>
      </c>
      <c r="D8" s="56">
        <v>0.0059375</v>
      </c>
      <c r="E8" s="48" t="str">
        <f>sb!$C122</f>
        <v>Sam Rodda</v>
      </c>
      <c r="F8" s="48" t="str">
        <f>sb!$D122</f>
        <v>RDG</v>
      </c>
      <c r="G8" s="50">
        <f>sb!$E122</f>
        <v>0.006425925925925926</v>
      </c>
      <c r="H8" s="48">
        <f>sb!$C123</f>
      </c>
      <c r="I8" s="48">
        <f>sb!$D123</f>
      </c>
      <c r="J8" s="50">
        <f>sb!$E123</f>
        <v>0</v>
      </c>
      <c r="K8" s="48">
        <f>sb!$C124</f>
      </c>
      <c r="L8" s="48">
        <f>sb!$D124</f>
      </c>
      <c r="M8" s="50">
        <f>sb!$E124</f>
        <v>0</v>
      </c>
      <c r="N8" s="48">
        <f>sb!$C125</f>
      </c>
      <c r="O8" s="48">
        <f>sb!$D125</f>
      </c>
      <c r="P8" s="50">
        <f>sb!$E125</f>
        <v>0</v>
      </c>
      <c r="Q8" s="48">
        <f>sb!$C126</f>
      </c>
      <c r="R8" s="48">
        <f>sb!$D126</f>
      </c>
      <c r="S8" s="50">
        <f>sb!$E126</f>
        <v>0</v>
      </c>
      <c r="T8" s="48">
        <f>sb!$C127</f>
      </c>
      <c r="U8" s="48">
        <f>sb!$D127</f>
      </c>
      <c r="V8" s="50">
        <f>sb!$E127</f>
        <v>0</v>
      </c>
      <c r="W8" s="125">
        <f t="shared" si="0"/>
        <v>0</v>
      </c>
      <c r="X8" s="33">
        <f t="shared" si="1"/>
        <v>6</v>
      </c>
      <c r="Y8" s="33">
        <f t="shared" si="2"/>
        <v>0</v>
      </c>
      <c r="Z8" s="33">
        <f t="shared" si="3"/>
        <v>0</v>
      </c>
      <c r="AA8" s="33">
        <f t="shared" si="4"/>
        <v>0</v>
      </c>
      <c r="AB8" s="33">
        <f t="shared" si="5"/>
        <v>0</v>
      </c>
    </row>
    <row r="9" spans="1:28" ht="18" customHeight="1">
      <c r="A9" s="33" t="s">
        <v>86</v>
      </c>
      <c r="B9" s="56">
        <v>0.004182870370370371</v>
      </c>
      <c r="C9" s="56">
        <v>0.0042824074074074075</v>
      </c>
      <c r="D9" s="56">
        <v>0.004212962962962963</v>
      </c>
      <c r="E9" s="48" t="str">
        <f>sb!$C105</f>
        <v>Chey Kemp</v>
      </c>
      <c r="F9" s="48" t="str">
        <f>sb!$D105</f>
        <v>RDG</v>
      </c>
      <c r="G9" s="50">
        <f>sb!$E105</f>
        <v>0.00437037037037037</v>
      </c>
      <c r="H9" s="48" t="str">
        <f>sb!$C106</f>
        <v>Matt Bradly</v>
      </c>
      <c r="I9" s="48" t="str">
        <f>sb!$D106</f>
        <v>W&amp;M</v>
      </c>
      <c r="J9" s="50">
        <f>sb!$E106</f>
        <v>0.004383101851851852</v>
      </c>
      <c r="K9" s="48" t="str">
        <f>sb!$C107</f>
        <v>William Brockman</v>
      </c>
      <c r="L9" s="48" t="str">
        <f>sb!$D107</f>
        <v>SL</v>
      </c>
      <c r="M9" s="50">
        <f>sb!$E107</f>
        <v>0.004508101851851852</v>
      </c>
      <c r="N9" s="48" t="str">
        <f>sb!$C108</f>
        <v>Martin Kopernicky</v>
      </c>
      <c r="O9" s="48" t="str">
        <f>sb!$D108</f>
        <v>Surrey</v>
      </c>
      <c r="P9" s="50">
        <f>sb!$E108</f>
        <v>0.004556712962962963</v>
      </c>
      <c r="Q9" s="48" t="str">
        <f>sb!$C109</f>
        <v>Ethan Tattersall</v>
      </c>
      <c r="R9" s="48" t="str">
        <f>sb!$D109</f>
        <v>W&amp;M</v>
      </c>
      <c r="S9" s="50">
        <f>sb!$E109</f>
        <v>0.004783564814814815</v>
      </c>
      <c r="T9" s="48">
        <f>sb!$C110</f>
      </c>
      <c r="U9" s="48">
        <f>sb!$D110</f>
      </c>
      <c r="V9" s="50">
        <f>sb!$E110</f>
        <v>0</v>
      </c>
      <c r="W9" s="125">
        <f t="shared" si="0"/>
        <v>0</v>
      </c>
      <c r="X9" s="33">
        <f t="shared" si="1"/>
        <v>6</v>
      </c>
      <c r="Y9" s="33">
        <f t="shared" si="2"/>
        <v>0</v>
      </c>
      <c r="Z9" s="33">
        <f t="shared" si="3"/>
        <v>0</v>
      </c>
      <c r="AA9" s="33">
        <v>8</v>
      </c>
      <c r="AB9" s="33">
        <f t="shared" si="5"/>
        <v>4</v>
      </c>
    </row>
    <row r="10" spans="1:28" ht="18" customHeight="1">
      <c r="A10" s="33" t="s">
        <v>87</v>
      </c>
      <c r="B10" s="34">
        <v>14.1</v>
      </c>
      <c r="C10" s="34">
        <v>15.2</v>
      </c>
      <c r="D10" s="34">
        <v>14.6</v>
      </c>
      <c r="E10" s="48">
        <f>sb!$C49</f>
      </c>
      <c r="F10" s="48">
        <f>sb!$D49</f>
      </c>
      <c r="G10" s="48">
        <f>sb!$E49</f>
        <v>0</v>
      </c>
      <c r="H10" s="48">
        <f>sb!$C50</f>
      </c>
      <c r="I10" s="48">
        <f>sb!$D50</f>
      </c>
      <c r="J10" s="48">
        <f>sb!$E50</f>
        <v>0</v>
      </c>
      <c r="K10" s="48">
        <f>sb!$C51</f>
      </c>
      <c r="L10" s="48">
        <f>sb!$D51</f>
      </c>
      <c r="M10" s="48">
        <f>sb!$E51</f>
        <v>0</v>
      </c>
      <c r="N10" s="48">
        <f>sb!$C52</f>
      </c>
      <c r="O10" s="48">
        <f>sb!$D52</f>
      </c>
      <c r="P10" s="48">
        <f>sb!$E52</f>
        <v>0</v>
      </c>
      <c r="Q10" s="48">
        <f>sb!$C53</f>
      </c>
      <c r="R10" s="48">
        <f>sb!$D53</f>
      </c>
      <c r="S10" s="48">
        <f>sb!$E53</f>
        <v>0</v>
      </c>
      <c r="T10" s="48">
        <f>sb!$C54</f>
      </c>
      <c r="U10" s="48">
        <f>sb!$D54</f>
      </c>
      <c r="V10" s="48">
        <f>sb!$E54</f>
        <v>0</v>
      </c>
      <c r="W10" s="125">
        <f t="shared" si="0"/>
        <v>0</v>
      </c>
      <c r="X10" s="33">
        <f t="shared" si="1"/>
        <v>0</v>
      </c>
      <c r="Y10" s="33">
        <f t="shared" si="2"/>
        <v>0</v>
      </c>
      <c r="Z10" s="33">
        <f t="shared" si="3"/>
        <v>0</v>
      </c>
      <c r="AA10" s="33">
        <f t="shared" si="4"/>
        <v>0</v>
      </c>
      <c r="AB10" s="33">
        <f t="shared" si="5"/>
        <v>0</v>
      </c>
    </row>
    <row r="11" spans="1:28" ht="18" customHeight="1">
      <c r="A11" s="33" t="s">
        <v>85</v>
      </c>
      <c r="B11" s="34">
        <v>54.3</v>
      </c>
      <c r="C11" s="34">
        <v>56.2</v>
      </c>
      <c r="D11" s="34">
        <v>55</v>
      </c>
      <c r="E11" s="48" t="str">
        <f>sb!$C5</f>
        <v>Jack Millar</v>
      </c>
      <c r="F11" s="48" t="str">
        <f>sb!$D5</f>
        <v>WOK</v>
      </c>
      <c r="G11" s="48">
        <f>sb!$E5</f>
        <v>61</v>
      </c>
      <c r="H11" s="48">
        <f>sb!$C6</f>
      </c>
      <c r="I11" s="48">
        <f>sb!$D6</f>
      </c>
      <c r="J11" s="48">
        <f>sb!$E6</f>
        <v>0</v>
      </c>
      <c r="K11" s="48">
        <f>sb!$C7</f>
      </c>
      <c r="L11" s="48">
        <f>sb!$D7</f>
      </c>
      <c r="M11" s="48">
        <f>sb!$E7</f>
        <v>0</v>
      </c>
      <c r="N11" s="48">
        <f>sb!$C8</f>
      </c>
      <c r="O11" s="48">
        <f>sb!$D8</f>
      </c>
      <c r="P11" s="48">
        <f>sb!$E8</f>
        <v>0</v>
      </c>
      <c r="Q11" s="48">
        <f>sb!$C9</f>
      </c>
      <c r="R11" s="48">
        <f>sb!$D9</f>
      </c>
      <c r="S11" s="48">
        <f>sb!$E9</f>
        <v>0</v>
      </c>
      <c r="T11" s="48">
        <f>sb!$C10</f>
      </c>
      <c r="U11" s="48">
        <f>sb!$D10</f>
      </c>
      <c r="V11" s="48">
        <f>sb!$E10</f>
        <v>0</v>
      </c>
      <c r="W11" s="125">
        <f t="shared" si="0"/>
        <v>0</v>
      </c>
      <c r="X11" s="33">
        <f t="shared" si="1"/>
        <v>0</v>
      </c>
      <c r="Y11" s="33">
        <f t="shared" si="2"/>
        <v>6</v>
      </c>
      <c r="Z11" s="33">
        <f t="shared" si="3"/>
        <v>0</v>
      </c>
      <c r="AA11" s="33">
        <f t="shared" si="4"/>
        <v>0</v>
      </c>
      <c r="AB11" s="33">
        <f t="shared" si="5"/>
        <v>0</v>
      </c>
    </row>
    <row r="12" spans="1:28" ht="18" customHeight="1">
      <c r="A12" s="33"/>
      <c r="B12" s="34"/>
      <c r="C12" s="34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26"/>
      <c r="W12" s="125"/>
      <c r="X12" s="33"/>
      <c r="Y12" s="33"/>
      <c r="Z12" s="33"/>
      <c r="AA12" s="33"/>
      <c r="AB12" s="33"/>
    </row>
    <row r="13" spans="1:28" ht="18" customHeight="1">
      <c r="A13" s="33" t="s">
        <v>72</v>
      </c>
      <c r="B13" s="35">
        <v>2.11</v>
      </c>
      <c r="C13" s="35">
        <v>1.94</v>
      </c>
      <c r="D13" s="35">
        <v>2</v>
      </c>
      <c r="E13" s="48" t="str">
        <f>sb!$C149</f>
        <v>Charlie Broad</v>
      </c>
      <c r="F13" s="48" t="str">
        <f>sb!$D149</f>
        <v>SL</v>
      </c>
      <c r="G13" s="36">
        <f>sb!$E149</f>
        <v>1.7</v>
      </c>
      <c r="H13" s="36" t="str">
        <f>sb!$C150</f>
        <v>S Oguuleta</v>
      </c>
      <c r="I13" s="36" t="str">
        <f>sb!$D150</f>
        <v>WOK</v>
      </c>
      <c r="J13" s="36">
        <f>sb!$E150</f>
        <v>1.65</v>
      </c>
      <c r="K13" s="36" t="str">
        <f>sb!$C151</f>
        <v>Jonathan Evans</v>
      </c>
      <c r="L13" s="36" t="str">
        <f>sb!$D151</f>
        <v>W&amp;M</v>
      </c>
      <c r="M13" s="36">
        <f>sb!$E151</f>
        <v>1.6</v>
      </c>
      <c r="N13" s="36">
        <f>sb!$C152</f>
      </c>
      <c r="O13" s="36">
        <f>sb!$D152</f>
      </c>
      <c r="P13" s="36">
        <f>sb!$E152</f>
        <v>0</v>
      </c>
      <c r="Q13" s="36">
        <f>sb!$C153</f>
      </c>
      <c r="R13" s="36">
        <f>sb!$D153</f>
      </c>
      <c r="S13" s="36">
        <f>sb!$E153</f>
        <v>0</v>
      </c>
      <c r="T13" s="36">
        <f>sb!$C154</f>
      </c>
      <c r="U13" s="36">
        <f>sb!$D154</f>
      </c>
      <c r="V13" s="36">
        <f>sb!$E154</f>
        <v>0</v>
      </c>
      <c r="W13" s="125">
        <f t="shared" si="0"/>
        <v>0</v>
      </c>
      <c r="X13" s="33">
        <f t="shared" si="1"/>
        <v>0</v>
      </c>
      <c r="Y13" s="33">
        <f t="shared" si="2"/>
        <v>5</v>
      </c>
      <c r="Z13" s="33">
        <f t="shared" si="3"/>
        <v>0</v>
      </c>
      <c r="AA13" s="33">
        <f t="shared" si="4"/>
        <v>4</v>
      </c>
      <c r="AB13" s="33">
        <f t="shared" si="5"/>
        <v>6</v>
      </c>
    </row>
    <row r="14" spans="1:28" ht="18" customHeight="1">
      <c r="A14" s="33" t="s">
        <v>69</v>
      </c>
      <c r="B14" s="35">
        <v>6.87</v>
      </c>
      <c r="C14" s="35">
        <v>6.8</v>
      </c>
      <c r="D14" s="35">
        <v>6.9</v>
      </c>
      <c r="E14" s="48" t="str">
        <f>sb!$C192</f>
        <v>Sam Challis</v>
      </c>
      <c r="F14" s="48" t="str">
        <f>sb!$D192</f>
        <v>W&amp;M</v>
      </c>
      <c r="G14" s="36">
        <f>sb!$E192</f>
        <v>6.75</v>
      </c>
      <c r="H14" s="36" t="str">
        <f>sb!$C193</f>
        <v>Alex Waters</v>
      </c>
      <c r="I14" s="36" t="str">
        <f>sb!$D193</f>
        <v>WOK</v>
      </c>
      <c r="J14" s="36">
        <f>sb!$E193</f>
        <v>5.39</v>
      </c>
      <c r="K14" s="36">
        <f>sb!$C194</f>
      </c>
      <c r="L14" s="36">
        <f>sb!$D194</f>
      </c>
      <c r="M14" s="36">
        <f>sb!$E194</f>
        <v>0</v>
      </c>
      <c r="N14" s="36">
        <f>sb!$C195</f>
      </c>
      <c r="O14" s="36">
        <f>sb!$D195</f>
      </c>
      <c r="P14" s="36">
        <f>sb!$E195</f>
        <v>0</v>
      </c>
      <c r="Q14" s="36">
        <f>sb!$C196</f>
      </c>
      <c r="R14" s="36">
        <f>sb!$D196</f>
      </c>
      <c r="S14" s="36">
        <f>sb!$E196</f>
        <v>0</v>
      </c>
      <c r="T14" s="36">
        <f>sb!$C197</f>
      </c>
      <c r="U14" s="36">
        <f>sb!$D197</f>
      </c>
      <c r="V14" s="36">
        <f>sb!$E197</f>
        <v>0</v>
      </c>
      <c r="W14" s="125">
        <f t="shared" si="0"/>
        <v>0</v>
      </c>
      <c r="X14" s="33">
        <f t="shared" si="1"/>
        <v>0</v>
      </c>
      <c r="Y14" s="33">
        <f t="shared" si="2"/>
        <v>5</v>
      </c>
      <c r="Z14" s="33">
        <f t="shared" si="3"/>
        <v>0</v>
      </c>
      <c r="AA14" s="33">
        <f t="shared" si="4"/>
        <v>6</v>
      </c>
      <c r="AB14" s="33">
        <f t="shared" si="5"/>
        <v>0</v>
      </c>
    </row>
    <row r="15" spans="1:28" ht="18" customHeight="1">
      <c r="A15" s="33" t="s">
        <v>80</v>
      </c>
      <c r="B15" s="35">
        <v>15.28</v>
      </c>
      <c r="C15" s="35">
        <v>13.9</v>
      </c>
      <c r="D15" s="35">
        <v>14.4</v>
      </c>
      <c r="E15" s="48" t="str">
        <f>sb!$C209</f>
        <v>Noah Folefac</v>
      </c>
      <c r="F15" s="48" t="str">
        <f>sb!$D209</f>
        <v>SL</v>
      </c>
      <c r="G15" s="36">
        <f>sb!$E209</f>
        <v>12.15</v>
      </c>
      <c r="H15" s="36">
        <f>sb!$C210</f>
      </c>
      <c r="I15" s="36">
        <f>sb!$D210</f>
      </c>
      <c r="J15" s="36">
        <f>sb!$E210</f>
        <v>0</v>
      </c>
      <c r="K15" s="36">
        <f>sb!$C211</f>
      </c>
      <c r="L15" s="36">
        <f>sb!$D211</f>
      </c>
      <c r="M15" s="36">
        <f>sb!$E211</f>
        <v>0</v>
      </c>
      <c r="N15" s="36">
        <f>sb!$C212</f>
      </c>
      <c r="O15" s="36">
        <f>sb!$D212</f>
      </c>
      <c r="P15" s="36">
        <f>sb!$E212</f>
        <v>0</v>
      </c>
      <c r="Q15" s="36">
        <f>sb!$C213</f>
      </c>
      <c r="R15" s="36">
        <f>sb!$D213</f>
      </c>
      <c r="S15" s="36">
        <f>sb!$E213</f>
        <v>0</v>
      </c>
      <c r="T15" s="36">
        <f>sb!$C214</f>
      </c>
      <c r="U15" s="36">
        <f>sb!$D214</f>
      </c>
      <c r="V15" s="36">
        <f>sb!$E214</f>
        <v>0</v>
      </c>
      <c r="W15" s="125">
        <f t="shared" si="0"/>
        <v>0</v>
      </c>
      <c r="X15" s="33">
        <f t="shared" si="1"/>
        <v>0</v>
      </c>
      <c r="Y15" s="33">
        <f t="shared" si="2"/>
        <v>0</v>
      </c>
      <c r="Z15" s="33">
        <f t="shared" si="3"/>
        <v>0</v>
      </c>
      <c r="AA15" s="33">
        <f t="shared" si="4"/>
        <v>0</v>
      </c>
      <c r="AB15" s="33">
        <f t="shared" si="5"/>
        <v>6</v>
      </c>
    </row>
    <row r="16" spans="1:28" ht="18" customHeight="1">
      <c r="A16" s="33" t="s">
        <v>79</v>
      </c>
      <c r="B16" s="35">
        <v>4.1</v>
      </c>
      <c r="C16" s="35">
        <v>4.2</v>
      </c>
      <c r="D16" s="35">
        <v>4.5</v>
      </c>
      <c r="E16" s="48">
        <f>sb!$C165</f>
      </c>
      <c r="F16" s="48">
        <f>sb!$D165</f>
      </c>
      <c r="G16" s="36">
        <f>sb!$E165</f>
        <v>0</v>
      </c>
      <c r="H16" s="36">
        <f>sb!$C166</f>
      </c>
      <c r="I16" s="36">
        <f>sb!$D166</f>
      </c>
      <c r="J16" s="36">
        <f>sb!$E166</f>
        <v>0</v>
      </c>
      <c r="K16" s="36">
        <f>sb!$C167</f>
      </c>
      <c r="L16" s="36">
        <f>sb!$D167</f>
      </c>
      <c r="M16" s="36">
        <f>sb!$E167</f>
        <v>0</v>
      </c>
      <c r="N16" s="36">
        <f>sb!$C168</f>
      </c>
      <c r="O16" s="36">
        <f>sb!$D168</f>
      </c>
      <c r="P16" s="36">
        <f>sb!$E168</f>
        <v>0</v>
      </c>
      <c r="Q16" s="36">
        <f>sb!$C169</f>
      </c>
      <c r="R16" s="36">
        <f>sb!$D169</f>
      </c>
      <c r="S16" s="36">
        <f>sb!$E169</f>
        <v>0</v>
      </c>
      <c r="T16" s="36">
        <f>sb!$C170</f>
      </c>
      <c r="U16" s="36">
        <f>sb!$D170</f>
      </c>
      <c r="V16" s="36">
        <f>sb!$E170</f>
        <v>0</v>
      </c>
      <c r="W16" s="125">
        <f t="shared" si="0"/>
        <v>0</v>
      </c>
      <c r="X16" s="33">
        <f t="shared" si="1"/>
        <v>0</v>
      </c>
      <c r="Y16" s="33">
        <f t="shared" si="2"/>
        <v>0</v>
      </c>
      <c r="Z16" s="33">
        <f t="shared" si="3"/>
        <v>0</v>
      </c>
      <c r="AA16" s="33">
        <f t="shared" si="4"/>
        <v>0</v>
      </c>
      <c r="AB16" s="33">
        <f t="shared" si="5"/>
        <v>0</v>
      </c>
    </row>
    <row r="17" spans="1:28" ht="18" customHeight="1">
      <c r="A17" s="33" t="s">
        <v>70</v>
      </c>
      <c r="B17" s="35">
        <v>44.98</v>
      </c>
      <c r="C17" s="35">
        <v>40</v>
      </c>
      <c r="D17" s="35">
        <v>46</v>
      </c>
      <c r="E17" s="48">
        <f>sb!$C176</f>
      </c>
      <c r="F17" s="48">
        <f>sb!$D176</f>
      </c>
      <c r="G17" s="36">
        <f>sb!$E176</f>
        <v>0</v>
      </c>
      <c r="H17" s="36">
        <f>sb!$C177</f>
      </c>
      <c r="I17" s="36">
        <f>sb!$D177</f>
      </c>
      <c r="J17" s="36">
        <f>sb!$E177</f>
        <v>0</v>
      </c>
      <c r="K17" s="36">
        <f>sb!$C178</f>
      </c>
      <c r="L17" s="36">
        <f>sb!$D178</f>
      </c>
      <c r="M17" s="36">
        <f>sb!$E178</f>
        <v>0</v>
      </c>
      <c r="N17" s="36">
        <f>sb!$C179</f>
      </c>
      <c r="O17" s="36">
        <f>sb!$D179</f>
      </c>
      <c r="P17" s="36">
        <f>sb!$E179</f>
        <v>0</v>
      </c>
      <c r="Q17" s="36">
        <f>sb!$C180</f>
      </c>
      <c r="R17" s="36">
        <f>sb!$D180</f>
      </c>
      <c r="S17" s="36">
        <f>sb!$E180</f>
        <v>0</v>
      </c>
      <c r="T17" s="36">
        <f>sb!$C181</f>
      </c>
      <c r="U17" s="36">
        <f>sb!$D181</f>
      </c>
      <c r="V17" s="36">
        <f>sb!$E181</f>
        <v>0</v>
      </c>
      <c r="W17" s="125">
        <f t="shared" si="0"/>
        <v>0</v>
      </c>
      <c r="X17" s="33">
        <f t="shared" si="1"/>
        <v>0</v>
      </c>
      <c r="Y17" s="33">
        <f t="shared" si="2"/>
        <v>0</v>
      </c>
      <c r="Z17" s="33">
        <f t="shared" si="3"/>
        <v>0</v>
      </c>
      <c r="AA17" s="33">
        <f t="shared" si="4"/>
        <v>0</v>
      </c>
      <c r="AB17" s="33">
        <f t="shared" si="5"/>
        <v>0</v>
      </c>
    </row>
    <row r="18" spans="1:28" ht="18" customHeight="1">
      <c r="A18" s="33" t="s">
        <v>71</v>
      </c>
      <c r="B18" s="35">
        <v>14.1</v>
      </c>
      <c r="C18" s="35">
        <v>13</v>
      </c>
      <c r="D18" s="35">
        <v>14</v>
      </c>
      <c r="E18" s="48" t="str">
        <f>sb!$C225</f>
        <v>Charlie Ashdown-Taylor</v>
      </c>
      <c r="F18" s="48" t="str">
        <f>sb!$D225</f>
        <v>RDG</v>
      </c>
      <c r="G18" s="36">
        <f>sb!$E225</f>
        <v>12.61</v>
      </c>
      <c r="H18" s="36" t="str">
        <f>sb!$C226</f>
        <v>Alex Spratley-Kemp</v>
      </c>
      <c r="I18" s="36" t="str">
        <f>sb!$D226</f>
        <v>WOK</v>
      </c>
      <c r="J18" s="36">
        <f>sb!$E226</f>
        <v>12.14</v>
      </c>
      <c r="K18" s="36">
        <f>sb!$C227</f>
      </c>
      <c r="L18" s="36">
        <f>sb!$D227</f>
      </c>
      <c r="M18" s="36">
        <f>sb!$E227</f>
        <v>0</v>
      </c>
      <c r="N18" s="36">
        <f>sb!$C228</f>
      </c>
      <c r="O18" s="36">
        <f>sb!$D228</f>
      </c>
      <c r="P18" s="36">
        <f>sb!$E228</f>
        <v>0</v>
      </c>
      <c r="Q18" s="36">
        <f>sb!$C229</f>
      </c>
      <c r="R18" s="36">
        <f>sb!$D229</f>
      </c>
      <c r="S18" s="36">
        <f>sb!$E229</f>
        <v>0</v>
      </c>
      <c r="T18" s="36">
        <f>sb!$C230</f>
      </c>
      <c r="U18" s="36">
        <f>sb!$D230</f>
      </c>
      <c r="V18" s="36">
        <f>sb!$E230</f>
        <v>0</v>
      </c>
      <c r="W18" s="125">
        <f t="shared" si="0"/>
        <v>0</v>
      </c>
      <c r="X18" s="33">
        <f t="shared" si="1"/>
        <v>6</v>
      </c>
      <c r="Y18" s="33">
        <f t="shared" si="2"/>
        <v>5</v>
      </c>
      <c r="Z18" s="33">
        <f t="shared" si="3"/>
        <v>0</v>
      </c>
      <c r="AA18" s="33">
        <f t="shared" si="4"/>
        <v>0</v>
      </c>
      <c r="AB18" s="33">
        <f t="shared" si="5"/>
        <v>0</v>
      </c>
    </row>
    <row r="19" spans="1:28" ht="18" customHeight="1">
      <c r="A19" s="33" t="s">
        <v>73</v>
      </c>
      <c r="B19" s="35">
        <v>58.66</v>
      </c>
      <c r="C19" s="35">
        <v>52</v>
      </c>
      <c r="D19" s="35">
        <v>56</v>
      </c>
      <c r="E19" s="48" t="str">
        <f>sb!$C241</f>
        <v>Ry Otake</v>
      </c>
      <c r="F19" s="48" t="str">
        <f>sb!$D241</f>
        <v>SL</v>
      </c>
      <c r="G19" s="36">
        <f>sb!$E241</f>
        <v>38.44</v>
      </c>
      <c r="H19" s="36">
        <f>sb!$C242</f>
      </c>
      <c r="I19" s="36">
        <f>sb!$D242</f>
      </c>
      <c r="J19" s="36">
        <f>sb!$E242</f>
        <v>0</v>
      </c>
      <c r="K19" s="36">
        <f>sb!$C243</f>
      </c>
      <c r="L19" s="36">
        <f>sb!$D243</f>
      </c>
      <c r="M19" s="36">
        <f>sb!$E243</f>
        <v>0</v>
      </c>
      <c r="N19" s="36">
        <f>sb!$C244</f>
      </c>
      <c r="O19" s="36">
        <f>sb!$D244</f>
      </c>
      <c r="P19" s="36">
        <f>sb!$E244</f>
        <v>0</v>
      </c>
      <c r="Q19" s="36">
        <f>sb!$C245</f>
      </c>
      <c r="R19" s="36">
        <f>sb!$D245</f>
      </c>
      <c r="S19" s="36">
        <f>sb!$E245</f>
        <v>0</v>
      </c>
      <c r="T19" s="36">
        <f>sb!$C246</f>
      </c>
      <c r="U19" s="36">
        <f>sb!$D246</f>
      </c>
      <c r="V19" s="36">
        <f>sb!$E246</f>
        <v>0</v>
      </c>
      <c r="W19" s="125">
        <f t="shared" si="0"/>
        <v>0</v>
      </c>
      <c r="X19" s="33">
        <f t="shared" si="1"/>
        <v>0</v>
      </c>
      <c r="Y19" s="33">
        <f t="shared" si="2"/>
        <v>0</v>
      </c>
      <c r="Z19" s="33">
        <f t="shared" si="3"/>
        <v>0</v>
      </c>
      <c r="AA19" s="33">
        <f t="shared" si="4"/>
        <v>0</v>
      </c>
      <c r="AB19" s="33">
        <f t="shared" si="5"/>
        <v>6</v>
      </c>
    </row>
    <row r="20" spans="1:28" ht="18" customHeight="1">
      <c r="A20" s="33" t="s">
        <v>78</v>
      </c>
      <c r="B20" s="35">
        <v>64.36</v>
      </c>
      <c r="C20" s="35">
        <v>46</v>
      </c>
      <c r="D20" s="35">
        <v>52</v>
      </c>
      <c r="E20" s="48" t="str">
        <f>sb!C140</f>
        <v>Oliver Hewitt</v>
      </c>
      <c r="F20" s="48" t="str">
        <f>sb!D140</f>
        <v>WB</v>
      </c>
      <c r="G20" s="321">
        <f>sb!E140</f>
        <v>56.41</v>
      </c>
      <c r="H20" s="36"/>
      <c r="I20" s="36"/>
      <c r="J20" s="36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26"/>
      <c r="W20" s="125"/>
      <c r="X20" s="33"/>
      <c r="Y20" s="33"/>
      <c r="Z20" s="33"/>
      <c r="AA20" s="33"/>
      <c r="AB20" s="33"/>
    </row>
    <row r="21" spans="20:28" ht="12.75">
      <c r="T21" s="27" t="s">
        <v>74</v>
      </c>
      <c r="V21" s="37"/>
      <c r="W21" s="124">
        <f aca="true" t="shared" si="6" ref="W21:AB21">SUM(W3:W19)</f>
        <v>5</v>
      </c>
      <c r="X21" s="27">
        <f t="shared" si="6"/>
        <v>35</v>
      </c>
      <c r="Y21" s="27">
        <f t="shared" si="6"/>
        <v>33</v>
      </c>
      <c r="Z21" s="27">
        <f t="shared" si="6"/>
        <v>4</v>
      </c>
      <c r="AA21" s="27">
        <f t="shared" si="6"/>
        <v>38</v>
      </c>
      <c r="AB21" s="27">
        <f t="shared" si="6"/>
        <v>35</v>
      </c>
    </row>
    <row r="22" spans="20:28" ht="12.75">
      <c r="T22" s="27" t="s">
        <v>75</v>
      </c>
      <c r="V22" s="37"/>
      <c r="W22" s="124">
        <f aca="true" t="shared" si="7" ref="W22:AB22">COUNT(W3:W18)</f>
        <v>15</v>
      </c>
      <c r="X22" s="27">
        <f t="shared" si="7"/>
        <v>15</v>
      </c>
      <c r="Y22" s="27">
        <f t="shared" si="7"/>
        <v>15</v>
      </c>
      <c r="Z22" s="27">
        <f t="shared" si="7"/>
        <v>15</v>
      </c>
      <c r="AA22" s="27">
        <f t="shared" si="7"/>
        <v>15</v>
      </c>
      <c r="AB22" s="27">
        <f t="shared" si="7"/>
        <v>15</v>
      </c>
    </row>
  </sheetData>
  <sheetProtection/>
  <printOptions gridLines="1"/>
  <pageMargins left="0" right="0" top="1.5748031496062993" bottom="0" header="0.3937007874015748" footer="0"/>
  <pageSetup horizontalDpi="300" verticalDpi="300" orientation="landscape" paperSize="9" r:id="rId2"/>
  <headerFooter alignWithMargins="0">
    <oddHeader>&amp;L&amp;G&amp;C&amp;"Arial,Bold"&amp;18Berkshire Schools Track &amp;&amp; Field Championships
Saturday, 12 June 2010
Palmer Park Reading&amp;"Arial,Regular"&amp;10
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09"/>
  <sheetViews>
    <sheetView zoomScalePageLayoutView="0" workbookViewId="0" topLeftCell="A3">
      <selection activeCell="H401" sqref="H401"/>
    </sheetView>
  </sheetViews>
  <sheetFormatPr defaultColWidth="9.140625" defaultRowHeight="12.75"/>
  <cols>
    <col min="1" max="1" width="11.7109375" style="19" customWidth="1"/>
    <col min="2" max="2" width="25.421875" style="19" customWidth="1"/>
    <col min="3" max="3" width="9.140625" style="19" customWidth="1"/>
    <col min="7" max="7" width="9.140625" style="18" customWidth="1"/>
    <col min="8" max="8" width="26.7109375" style="18" customWidth="1"/>
    <col min="9" max="9" width="9.140625" style="18" customWidth="1"/>
  </cols>
  <sheetData>
    <row r="1" s="21" customFormat="1" ht="12.75">
      <c r="A1" s="21" t="s">
        <v>88</v>
      </c>
    </row>
    <row r="2" spans="1:7" ht="12.75">
      <c r="A2" s="19" t="s">
        <v>89</v>
      </c>
      <c r="G2" s="18" t="s">
        <v>104</v>
      </c>
    </row>
    <row r="3" ht="12.75">
      <c r="L3" s="42" t="s">
        <v>300</v>
      </c>
    </row>
    <row r="4" spans="1:13" ht="12.75">
      <c r="A4" s="19" t="s">
        <v>90</v>
      </c>
      <c r="G4" s="41" t="s">
        <v>351</v>
      </c>
      <c r="L4">
        <v>1</v>
      </c>
      <c r="M4" s="42" t="s">
        <v>20</v>
      </c>
    </row>
    <row r="5" spans="1:13" ht="12.75">
      <c r="A5" s="19" t="s">
        <v>1054</v>
      </c>
      <c r="G5" s="18">
        <v>5</v>
      </c>
      <c r="H5" s="41" t="s">
        <v>747</v>
      </c>
      <c r="I5" s="162" t="str">
        <f aca="true" t="shared" si="0" ref="I5:I13">IF(OR($G5=0,$G5=""),"",VLOOKUP($G5,codes,2,FALSE))</f>
        <v>RDG</v>
      </c>
      <c r="L5">
        <v>2</v>
      </c>
      <c r="M5" s="42" t="s">
        <v>20</v>
      </c>
    </row>
    <row r="6" spans="1:13" ht="12.75">
      <c r="A6" s="293">
        <v>1</v>
      </c>
      <c r="B6" s="293" t="s">
        <v>1055</v>
      </c>
      <c r="C6" s="19" t="str">
        <f>IF(OR($A6=0,$A6=""),"",VLOOKUP($A6,codes,2,FALSE))</f>
        <v>BRK</v>
      </c>
      <c r="I6" s="162">
        <f t="shared" si="0"/>
      </c>
      <c r="L6">
        <v>3</v>
      </c>
      <c r="M6" s="42" t="s">
        <v>16</v>
      </c>
    </row>
    <row r="7" spans="1:13" ht="12.75">
      <c r="A7" s="19">
        <v>9</v>
      </c>
      <c r="B7" s="293" t="s">
        <v>1056</v>
      </c>
      <c r="C7" s="19" t="str">
        <f>IF(OR($A7=0,$A7=""),"",VLOOKUP($A7,codes,2,FALSE))</f>
        <v>W&amp;M</v>
      </c>
      <c r="H7" s="41"/>
      <c r="I7" s="162">
        <f t="shared" si="0"/>
      </c>
      <c r="L7">
        <v>4</v>
      </c>
      <c r="M7" s="42" t="s">
        <v>16</v>
      </c>
    </row>
    <row r="8" spans="1:13" ht="12.75">
      <c r="A8" s="19">
        <v>11</v>
      </c>
      <c r="B8" s="293" t="s">
        <v>1414</v>
      </c>
      <c r="C8" s="19" t="str">
        <f>IF(OR($A8=0,$A8=""),"",VLOOKUP($A8,codes,2,FALSE))</f>
        <v>WOK</v>
      </c>
      <c r="I8" s="162">
        <f t="shared" si="0"/>
      </c>
      <c r="L8">
        <v>5</v>
      </c>
      <c r="M8" s="42" t="s">
        <v>18</v>
      </c>
    </row>
    <row r="9" spans="2:13" ht="12.75">
      <c r="B9" s="293"/>
      <c r="C9" s="19">
        <f>IF(OR($A9=0,$A9=""),"",VLOOKUP($A9,codes,2,FALSE))</f>
      </c>
      <c r="G9" s="18" t="s">
        <v>430</v>
      </c>
      <c r="H9" s="260" t="s">
        <v>431</v>
      </c>
      <c r="I9" s="260"/>
      <c r="L9">
        <v>6</v>
      </c>
      <c r="M9" s="42" t="s">
        <v>18</v>
      </c>
    </row>
    <row r="10" spans="7:13" ht="12.75">
      <c r="G10" s="18">
        <v>5</v>
      </c>
      <c r="H10" s="41" t="s">
        <v>748</v>
      </c>
      <c r="I10" s="162" t="str">
        <f t="shared" si="0"/>
        <v>RDG</v>
      </c>
      <c r="L10">
        <v>7</v>
      </c>
      <c r="M10" s="42" t="s">
        <v>22</v>
      </c>
    </row>
    <row r="11" spans="1:13" ht="12.75">
      <c r="A11" s="40"/>
      <c r="B11" s="40"/>
      <c r="G11" s="18">
        <v>7</v>
      </c>
      <c r="H11" s="18" t="s">
        <v>749</v>
      </c>
      <c r="I11" s="162" t="str">
        <f t="shared" si="0"/>
        <v>SL</v>
      </c>
      <c r="L11">
        <v>8</v>
      </c>
      <c r="M11" s="42" t="s">
        <v>22</v>
      </c>
    </row>
    <row r="12" spans="2:13" ht="12.75">
      <c r="B12" s="293"/>
      <c r="I12" s="162">
        <f t="shared" si="0"/>
      </c>
      <c r="L12">
        <v>9</v>
      </c>
      <c r="M12" s="42" t="s">
        <v>92</v>
      </c>
    </row>
    <row r="13" spans="9:13" ht="12.75">
      <c r="I13" s="162">
        <f t="shared" si="0"/>
      </c>
      <c r="L13">
        <v>10</v>
      </c>
      <c r="M13" s="42" t="s">
        <v>92</v>
      </c>
    </row>
    <row r="14" spans="1:13" ht="12.75">
      <c r="A14" s="19" t="s">
        <v>1057</v>
      </c>
      <c r="G14" s="18" t="s">
        <v>105</v>
      </c>
      <c r="I14" s="162"/>
      <c r="L14">
        <v>11</v>
      </c>
      <c r="M14" s="42" t="s">
        <v>19</v>
      </c>
    </row>
    <row r="15" spans="1:13" ht="12.75">
      <c r="A15" s="19">
        <v>1</v>
      </c>
      <c r="B15" s="293" t="s">
        <v>1058</v>
      </c>
      <c r="C15" s="40" t="str">
        <f>IF(OR($A15=0,$A15=""),"",VLOOKUP($A15,codes,2,FALSE))</f>
        <v>BRK</v>
      </c>
      <c r="I15" s="162">
        <f>IF(OR($G15=0,$G15=""),"",VLOOKUP($G15,codes,2,FALSE))</f>
      </c>
      <c r="L15">
        <v>12</v>
      </c>
      <c r="M15" s="42" t="s">
        <v>19</v>
      </c>
    </row>
    <row r="16" spans="1:9" ht="12.75">
      <c r="A16" s="40"/>
      <c r="B16" s="40"/>
      <c r="C16" s="19">
        <f>IF(OR($A16=0,$A16=""),"",VLOOKUP($A16,codes,2,FALSE))</f>
      </c>
      <c r="I16" s="162">
        <f>IF(OR($G16=0,$G16=""),"",VLOOKUP($G16,codes,2,FALSE))</f>
      </c>
    </row>
    <row r="17" spans="1:9" ht="12.75">
      <c r="A17" s="40" t="s">
        <v>1059</v>
      </c>
      <c r="G17" s="18" t="s">
        <v>106</v>
      </c>
      <c r="I17" s="162"/>
    </row>
    <row r="18" spans="1:9" ht="12.75">
      <c r="A18" s="19">
        <v>11</v>
      </c>
      <c r="B18" s="293" t="s">
        <v>1060</v>
      </c>
      <c r="C18" s="19" t="str">
        <f>IF(OR($A18=0,$A18=""),"",VLOOKUP($A18,codes,2,FALSE))</f>
        <v>WOK</v>
      </c>
      <c r="G18" s="41" t="s">
        <v>432</v>
      </c>
      <c r="I18" s="162"/>
    </row>
    <row r="19" spans="2:9" ht="12.75">
      <c r="B19" s="293"/>
      <c r="C19" s="19">
        <f>IF(OR($A19=0,$A19=""),"",VLOOKUP($A19,codes,2,FALSE))</f>
      </c>
      <c r="G19" s="18">
        <v>1</v>
      </c>
      <c r="H19" s="41" t="s">
        <v>750</v>
      </c>
      <c r="I19" s="162" t="str">
        <f aca="true" t="shared" si="1" ref="I19:I26">IF(OR($G19=0,$G19=""),"",VLOOKUP($G19,codes,2,FALSE))</f>
        <v>BRK</v>
      </c>
    </row>
    <row r="20" spans="2:9" ht="12.75">
      <c r="B20" s="293"/>
      <c r="C20" s="19">
        <f>IF(OR($A20=0,$A20=""),"",VLOOKUP($A20,codes,2,FALSE))</f>
      </c>
      <c r="H20" s="41"/>
      <c r="I20" s="162">
        <f t="shared" si="1"/>
      </c>
    </row>
    <row r="21" spans="1:9" ht="12.75">
      <c r="A21" s="40" t="s">
        <v>1061</v>
      </c>
      <c r="H21" s="41"/>
      <c r="I21" s="162">
        <f t="shared" si="1"/>
      </c>
    </row>
    <row r="22" spans="1:9" ht="12.75">
      <c r="A22" s="19" t="s">
        <v>91</v>
      </c>
      <c r="H22" s="41"/>
      <c r="I22" s="162"/>
    </row>
    <row r="23" spans="1:9" ht="12.75">
      <c r="A23" s="19">
        <v>1</v>
      </c>
      <c r="B23" s="293" t="s">
        <v>1062</v>
      </c>
      <c r="C23" s="19" t="str">
        <f aca="true" t="shared" si="2" ref="C23:C28">IF(OR($A23=0,$A23=""),"",VLOOKUP($A23,codes,2,FALSE))</f>
        <v>BRK</v>
      </c>
      <c r="I23" s="162">
        <f t="shared" si="1"/>
      </c>
    </row>
    <row r="24" spans="1:9" ht="12.75">
      <c r="A24" s="40">
        <v>3</v>
      </c>
      <c r="B24" s="293" t="s">
        <v>1063</v>
      </c>
      <c r="C24" s="19" t="str">
        <f t="shared" si="2"/>
        <v>WB</v>
      </c>
      <c r="I24" s="162">
        <f t="shared" si="1"/>
      </c>
    </row>
    <row r="25" spans="1:9" ht="12.75">
      <c r="A25" s="40">
        <v>6</v>
      </c>
      <c r="B25" s="293" t="s">
        <v>1394</v>
      </c>
      <c r="C25" s="19" t="str">
        <f t="shared" si="2"/>
        <v>RDG</v>
      </c>
      <c r="G25" s="41" t="s">
        <v>433</v>
      </c>
      <c r="I25" s="162"/>
    </row>
    <row r="26" spans="1:9" ht="12.75">
      <c r="A26" s="19">
        <v>7</v>
      </c>
      <c r="B26" s="293" t="s">
        <v>1064</v>
      </c>
      <c r="C26" s="19" t="str">
        <f t="shared" si="2"/>
        <v>SL</v>
      </c>
      <c r="H26" s="41"/>
      <c r="I26" s="166">
        <f t="shared" si="1"/>
      </c>
    </row>
    <row r="27" spans="1:9" ht="12.75">
      <c r="A27" s="19">
        <v>10</v>
      </c>
      <c r="B27" s="293" t="s">
        <v>1393</v>
      </c>
      <c r="C27" s="19" t="str">
        <f t="shared" si="2"/>
        <v>W&amp;M</v>
      </c>
      <c r="I27" s="162">
        <f aca="true" t="shared" si="3" ref="I27:I33">IF(OR($G27=0,$G27=""),"",VLOOKUP($G27,codes,2,FALSE))</f>
      </c>
    </row>
    <row r="28" spans="1:9" ht="12.75">
      <c r="A28" s="19">
        <v>12</v>
      </c>
      <c r="B28" s="293" t="s">
        <v>1065</v>
      </c>
      <c r="C28" s="19" t="str">
        <f t="shared" si="2"/>
        <v>WOK</v>
      </c>
      <c r="G28" s="18" t="s">
        <v>751</v>
      </c>
      <c r="H28" s="18" t="s">
        <v>753</v>
      </c>
      <c r="I28" s="162"/>
    </row>
    <row r="29" spans="2:9" ht="12.75">
      <c r="B29" s="40"/>
      <c r="G29" s="18">
        <v>3</v>
      </c>
      <c r="H29" s="18" t="s">
        <v>752</v>
      </c>
      <c r="I29" s="162" t="str">
        <f t="shared" si="3"/>
        <v>WB</v>
      </c>
    </row>
    <row r="30" ht="12.75">
      <c r="I30" s="162">
        <f t="shared" si="3"/>
      </c>
    </row>
    <row r="31" spans="7:9" ht="12.75">
      <c r="G31" s="18" t="s">
        <v>754</v>
      </c>
      <c r="I31" s="162"/>
    </row>
    <row r="32" spans="1:9" ht="12.75">
      <c r="A32" s="19" t="s">
        <v>93</v>
      </c>
      <c r="G32" s="18">
        <v>1</v>
      </c>
      <c r="H32" s="18" t="s">
        <v>755</v>
      </c>
      <c r="I32" s="162" t="str">
        <f t="shared" si="3"/>
        <v>BRK</v>
      </c>
    </row>
    <row r="33" spans="1:9" ht="12.75">
      <c r="A33" s="19">
        <v>2</v>
      </c>
      <c r="B33" s="293" t="s">
        <v>1066</v>
      </c>
      <c r="C33" s="19" t="str">
        <f aca="true" t="shared" si="4" ref="C33:C39">IF(OR($A33=0,$A33=""),"",VLOOKUP($A33,codes,2,FALSE))</f>
        <v>BRK</v>
      </c>
      <c r="I33" s="162">
        <f t="shared" si="3"/>
      </c>
    </row>
    <row r="34" spans="1:9" ht="12.75">
      <c r="A34" s="19">
        <v>5</v>
      </c>
      <c r="B34" s="293" t="s">
        <v>1067</v>
      </c>
      <c r="C34" s="19" t="str">
        <f t="shared" si="4"/>
        <v>RDG</v>
      </c>
      <c r="G34" s="41" t="s">
        <v>765</v>
      </c>
      <c r="I34" s="162"/>
    </row>
    <row r="35" spans="1:9" ht="12.75">
      <c r="A35" s="19">
        <v>8</v>
      </c>
      <c r="B35" s="293" t="s">
        <v>1068</v>
      </c>
      <c r="C35" s="19" t="str">
        <f t="shared" si="4"/>
        <v>SL</v>
      </c>
      <c r="G35" s="18">
        <v>1</v>
      </c>
      <c r="H35" s="41" t="s">
        <v>1392</v>
      </c>
      <c r="I35" s="162" t="str">
        <f aca="true" t="shared" si="5" ref="I35:I59">IF(OR($G35=0,$G35=""),"",VLOOKUP($G35,codes,2,FALSE))</f>
        <v>BRK</v>
      </c>
    </row>
    <row r="36" spans="1:9" ht="12.75">
      <c r="A36" s="19">
        <v>9</v>
      </c>
      <c r="B36" s="293" t="s">
        <v>1069</v>
      </c>
      <c r="C36" s="19" t="str">
        <f t="shared" si="4"/>
        <v>W&amp;M</v>
      </c>
      <c r="G36" s="18">
        <v>2</v>
      </c>
      <c r="H36" s="41" t="s">
        <v>756</v>
      </c>
      <c r="I36" s="162" t="str">
        <f t="shared" si="5"/>
        <v>BRK</v>
      </c>
    </row>
    <row r="37" spans="1:9" ht="12.75">
      <c r="A37" s="19">
        <v>11</v>
      </c>
      <c r="B37" s="293" t="s">
        <v>1070</v>
      </c>
      <c r="C37" s="19" t="str">
        <f t="shared" si="4"/>
        <v>WOK</v>
      </c>
      <c r="G37" s="18">
        <v>3</v>
      </c>
      <c r="H37" s="41" t="s">
        <v>757</v>
      </c>
      <c r="I37" s="162" t="str">
        <f t="shared" si="5"/>
        <v>WB</v>
      </c>
    </row>
    <row r="38" spans="1:9" ht="12.75">
      <c r="A38" s="294"/>
      <c r="B38" s="293"/>
      <c r="C38" s="19">
        <f t="shared" si="4"/>
      </c>
      <c r="G38" s="41">
        <v>4</v>
      </c>
      <c r="H38" s="41" t="s">
        <v>758</v>
      </c>
      <c r="I38" s="166" t="s">
        <v>16</v>
      </c>
    </row>
    <row r="39" spans="2:9" ht="12.75">
      <c r="B39" s="40"/>
      <c r="C39" s="19">
        <f t="shared" si="4"/>
      </c>
      <c r="G39" s="18">
        <v>5</v>
      </c>
      <c r="H39" s="41" t="s">
        <v>759</v>
      </c>
      <c r="I39" s="162" t="str">
        <f t="shared" si="5"/>
        <v>RDG</v>
      </c>
    </row>
    <row r="40" spans="1:9" ht="12.75">
      <c r="A40" s="40" t="s">
        <v>1071</v>
      </c>
      <c r="G40" s="18">
        <v>6</v>
      </c>
      <c r="H40" s="41" t="s">
        <v>760</v>
      </c>
      <c r="I40" s="162" t="str">
        <f t="shared" si="5"/>
        <v>RDG</v>
      </c>
    </row>
    <row r="41" spans="1:9" ht="12.75">
      <c r="A41" s="19" t="s">
        <v>91</v>
      </c>
      <c r="G41" s="18">
        <v>9</v>
      </c>
      <c r="H41" s="41" t="s">
        <v>761</v>
      </c>
      <c r="I41" s="162" t="str">
        <f t="shared" si="5"/>
        <v>W&amp;M</v>
      </c>
    </row>
    <row r="42" spans="1:9" ht="12.75">
      <c r="A42" s="19">
        <v>1</v>
      </c>
      <c r="B42" s="293" t="s">
        <v>1072</v>
      </c>
      <c r="C42" s="19" t="str">
        <f aca="true" t="shared" si="6" ref="C42:C48">IF(OR($A42=0,$A42=""),"",VLOOKUP($A42,codes,2,FALSE))</f>
        <v>BRK</v>
      </c>
      <c r="G42" s="18">
        <v>10</v>
      </c>
      <c r="H42" s="41" t="s">
        <v>762</v>
      </c>
      <c r="I42" s="162" t="str">
        <f t="shared" si="5"/>
        <v>W&amp;M</v>
      </c>
    </row>
    <row r="43" spans="1:9" ht="12.75">
      <c r="A43" s="19">
        <v>4</v>
      </c>
      <c r="B43" s="293" t="s">
        <v>1073</v>
      </c>
      <c r="C43" s="19" t="str">
        <f t="shared" si="6"/>
        <v>WB</v>
      </c>
      <c r="G43" s="18">
        <v>11</v>
      </c>
      <c r="H43" s="41" t="s">
        <v>763</v>
      </c>
      <c r="I43" s="162" t="str">
        <f t="shared" si="5"/>
        <v>WOK</v>
      </c>
    </row>
    <row r="44" spans="1:9" ht="12.75">
      <c r="A44" s="19">
        <v>7</v>
      </c>
      <c r="B44" s="293" t="s">
        <v>1074</v>
      </c>
      <c r="C44" s="19" t="str">
        <f t="shared" si="6"/>
        <v>SL</v>
      </c>
      <c r="G44" s="18">
        <v>12</v>
      </c>
      <c r="H44" s="41" t="s">
        <v>764</v>
      </c>
      <c r="I44" s="162" t="str">
        <f t="shared" si="5"/>
        <v>WOK</v>
      </c>
    </row>
    <row r="45" spans="1:9" ht="12.75">
      <c r="A45" s="19">
        <v>10</v>
      </c>
      <c r="B45" s="293" t="s">
        <v>1075</v>
      </c>
      <c r="C45" s="19" t="str">
        <f t="shared" si="6"/>
        <v>W&amp;M</v>
      </c>
      <c r="G45" s="287"/>
      <c r="H45" s="41"/>
      <c r="I45" s="162">
        <f t="shared" si="5"/>
      </c>
    </row>
    <row r="46" spans="1:9" ht="12.75">
      <c r="A46" s="19">
        <v>11</v>
      </c>
      <c r="B46" s="293" t="s">
        <v>1076</v>
      </c>
      <c r="C46" s="19" t="str">
        <f t="shared" si="6"/>
        <v>WOK</v>
      </c>
      <c r="H46" s="41"/>
      <c r="I46" s="162">
        <f t="shared" si="5"/>
      </c>
    </row>
    <row r="47" spans="1:9" ht="12.75">
      <c r="A47" s="19">
        <v>5</v>
      </c>
      <c r="B47" s="293" t="s">
        <v>1077</v>
      </c>
      <c r="C47" s="19" t="str">
        <f t="shared" si="6"/>
        <v>RDG</v>
      </c>
      <c r="H47" s="41"/>
      <c r="I47" s="162">
        <f t="shared" si="5"/>
      </c>
    </row>
    <row r="48" spans="3:9" ht="12.75">
      <c r="C48" s="19">
        <f t="shared" si="6"/>
      </c>
      <c r="I48" s="162">
        <f t="shared" si="5"/>
      </c>
    </row>
    <row r="49" spans="1:9" ht="12.75">
      <c r="A49" s="19" t="s">
        <v>93</v>
      </c>
      <c r="I49" s="162">
        <f t="shared" si="5"/>
      </c>
    </row>
    <row r="50" spans="1:9" ht="12.75">
      <c r="A50" s="19">
        <v>2</v>
      </c>
      <c r="B50" s="293" t="s">
        <v>1078</v>
      </c>
      <c r="C50" s="19" t="str">
        <f aca="true" t="shared" si="7" ref="C50:C55">IF(OR($A50=0,$A50=""),"",VLOOKUP($A50,codes,2,FALSE))</f>
        <v>BRK</v>
      </c>
      <c r="I50" s="162">
        <f t="shared" si="5"/>
      </c>
    </row>
    <row r="51" spans="1:9" ht="12.75">
      <c r="A51" s="19">
        <v>3</v>
      </c>
      <c r="B51" s="293" t="s">
        <v>1079</v>
      </c>
      <c r="C51" s="19" t="str">
        <f t="shared" si="7"/>
        <v>WB</v>
      </c>
      <c r="I51" s="162">
        <f t="shared" si="5"/>
      </c>
    </row>
    <row r="52" spans="1:9" ht="12.75">
      <c r="A52" s="19">
        <v>6</v>
      </c>
      <c r="B52" s="293" t="s">
        <v>1080</v>
      </c>
      <c r="C52" s="19" t="str">
        <f t="shared" si="7"/>
        <v>RDG</v>
      </c>
      <c r="I52" s="162">
        <f t="shared" si="5"/>
      </c>
    </row>
    <row r="53" spans="1:9" ht="12.75">
      <c r="A53" s="19">
        <v>9</v>
      </c>
      <c r="B53" s="293" t="s">
        <v>1081</v>
      </c>
      <c r="C53" s="19" t="str">
        <f t="shared" si="7"/>
        <v>W&amp;M</v>
      </c>
      <c r="I53" s="162">
        <f t="shared" si="5"/>
      </c>
    </row>
    <row r="54" spans="1:9" ht="12.75">
      <c r="A54" s="19">
        <v>12</v>
      </c>
      <c r="B54" s="293" t="s">
        <v>1082</v>
      </c>
      <c r="C54" s="19" t="str">
        <f t="shared" si="7"/>
        <v>WOK</v>
      </c>
      <c r="I54" s="162">
        <f t="shared" si="5"/>
      </c>
    </row>
    <row r="55" spans="2:9" ht="12.75">
      <c r="B55" s="293"/>
      <c r="C55" s="19">
        <f t="shared" si="7"/>
      </c>
      <c r="I55" s="162">
        <f t="shared" si="5"/>
      </c>
    </row>
    <row r="56" ht="12.75">
      <c r="I56" s="162">
        <f t="shared" si="5"/>
      </c>
    </row>
    <row r="57" spans="1:9" ht="12.75">
      <c r="A57" s="19" t="s">
        <v>94</v>
      </c>
      <c r="I57" s="162">
        <f t="shared" si="5"/>
      </c>
    </row>
    <row r="58" spans="1:9" ht="12.75">
      <c r="A58" s="40" t="s">
        <v>1083</v>
      </c>
      <c r="I58" s="162">
        <f t="shared" si="5"/>
      </c>
    </row>
    <row r="59" spans="1:9" ht="12.75">
      <c r="A59" s="19" t="s">
        <v>91</v>
      </c>
      <c r="I59" s="162">
        <f t="shared" si="5"/>
      </c>
    </row>
    <row r="60" spans="1:9" ht="12.75">
      <c r="A60" s="19">
        <v>1</v>
      </c>
      <c r="B60" s="293" t="s">
        <v>1084</v>
      </c>
      <c r="C60" s="19" t="str">
        <f aca="true" t="shared" si="8" ref="C60:C65">IF(OR($A60=0,$A60=""),"",VLOOKUP($A60,codes,2,FALSE))</f>
        <v>BRK</v>
      </c>
      <c r="G60" s="41" t="s">
        <v>766</v>
      </c>
      <c r="I60" s="162"/>
    </row>
    <row r="61" spans="1:9" ht="12.75">
      <c r="A61" s="19">
        <v>3</v>
      </c>
      <c r="B61" s="293" t="s">
        <v>1085</v>
      </c>
      <c r="C61" s="19" t="str">
        <f t="shared" si="8"/>
        <v>WB</v>
      </c>
      <c r="G61" s="18">
        <v>3</v>
      </c>
      <c r="H61" s="41" t="s">
        <v>767</v>
      </c>
      <c r="I61" s="162" t="str">
        <f aca="true" t="shared" si="9" ref="I61:I67">IF(OR($G61=0,$G61=""),"",VLOOKUP($G61,codes,2,FALSE))</f>
        <v>WB</v>
      </c>
    </row>
    <row r="62" spans="1:9" ht="12.75">
      <c r="A62" s="19">
        <v>6</v>
      </c>
      <c r="B62" s="293" t="s">
        <v>1086</v>
      </c>
      <c r="C62" s="19" t="str">
        <f t="shared" si="8"/>
        <v>RDG</v>
      </c>
      <c r="G62" s="18">
        <v>7</v>
      </c>
      <c r="H62" s="41" t="s">
        <v>768</v>
      </c>
      <c r="I62" s="162" t="str">
        <f t="shared" si="9"/>
        <v>SL</v>
      </c>
    </row>
    <row r="63" spans="1:9" ht="12.75">
      <c r="A63" s="19">
        <v>7</v>
      </c>
      <c r="B63" s="293" t="s">
        <v>1087</v>
      </c>
      <c r="C63" s="19" t="str">
        <f t="shared" si="8"/>
        <v>SL</v>
      </c>
      <c r="G63" s="18">
        <v>9</v>
      </c>
      <c r="H63" s="41" t="s">
        <v>769</v>
      </c>
      <c r="I63" s="162" t="str">
        <f t="shared" si="9"/>
        <v>W&amp;M</v>
      </c>
    </row>
    <row r="64" spans="1:9" ht="12.75">
      <c r="A64" s="19">
        <v>10</v>
      </c>
      <c r="B64" s="293" t="s">
        <v>1088</v>
      </c>
      <c r="C64" s="19" t="str">
        <f t="shared" si="8"/>
        <v>W&amp;M</v>
      </c>
      <c r="G64" s="18">
        <v>11</v>
      </c>
      <c r="H64" s="41" t="s">
        <v>770</v>
      </c>
      <c r="I64" s="162" t="str">
        <f t="shared" si="9"/>
        <v>WOK</v>
      </c>
    </row>
    <row r="65" spans="1:9" ht="12.75">
      <c r="A65" s="19">
        <v>11</v>
      </c>
      <c r="B65" s="293" t="s">
        <v>1089</v>
      </c>
      <c r="C65" s="19" t="str">
        <f t="shared" si="8"/>
        <v>WOK</v>
      </c>
      <c r="H65" s="41"/>
      <c r="I65" s="162">
        <f t="shared" si="9"/>
      </c>
    </row>
    <row r="66" spans="1:9" ht="12.75">
      <c r="A66" s="19" t="s">
        <v>95</v>
      </c>
      <c r="I66" s="162">
        <f t="shared" si="9"/>
      </c>
    </row>
    <row r="67" spans="1:9" ht="12.75">
      <c r="A67" s="19">
        <v>2</v>
      </c>
      <c r="B67" s="293" t="s">
        <v>1090</v>
      </c>
      <c r="C67" s="19" t="str">
        <f>IF(OR($A67=0,$A67=""),"",VLOOKUP($A67,codes,2,FALSE))</f>
        <v>BRK</v>
      </c>
      <c r="I67" s="162">
        <f t="shared" si="9"/>
      </c>
    </row>
    <row r="68" spans="1:9" ht="12.75">
      <c r="A68" s="19">
        <v>4</v>
      </c>
      <c r="B68" s="293" t="s">
        <v>1091</v>
      </c>
      <c r="C68" s="19" t="str">
        <f>IF(OR($A68=0,$A68=""),"",VLOOKUP($A68,codes,2,FALSE))</f>
        <v>WB</v>
      </c>
      <c r="G68" s="41" t="s">
        <v>771</v>
      </c>
      <c r="I68" s="162"/>
    </row>
    <row r="69" spans="1:9" ht="12.75">
      <c r="A69" s="19">
        <v>5</v>
      </c>
      <c r="B69" s="293" t="s">
        <v>1092</v>
      </c>
      <c r="C69" s="19" t="str">
        <f>IF(OR($A69=0,$A69=""),"",VLOOKUP($A69,codes,2,FALSE))</f>
        <v>RDG</v>
      </c>
      <c r="G69" s="18">
        <v>1</v>
      </c>
      <c r="H69" s="41" t="s">
        <v>772</v>
      </c>
      <c r="I69" s="162" t="str">
        <f aca="true" t="shared" si="10" ref="I69:I90">IF(OR($G69=0,$G69=""),"",VLOOKUP($G69,codes,2,FALSE))</f>
        <v>BRK</v>
      </c>
    </row>
    <row r="70" spans="1:9" ht="12.75">
      <c r="A70" s="19">
        <v>9</v>
      </c>
      <c r="B70" s="293" t="s">
        <v>1093</v>
      </c>
      <c r="C70" s="19" t="str">
        <f>IF(OR($A70=0,$A70=""),"",VLOOKUP($A70,codes,2,FALSE))</f>
        <v>W&amp;M</v>
      </c>
      <c r="G70" s="18">
        <v>2</v>
      </c>
      <c r="H70" s="41" t="s">
        <v>773</v>
      </c>
      <c r="I70" s="162" t="str">
        <f t="shared" si="10"/>
        <v>BRK</v>
      </c>
    </row>
    <row r="71" spans="1:9" ht="12.75">
      <c r="A71" s="19">
        <v>12</v>
      </c>
      <c r="B71" s="293" t="s">
        <v>1094</v>
      </c>
      <c r="C71" s="19" t="str">
        <f>IF(OR($A71=0,$A71=""),"",VLOOKUP($A71,codes,2,FALSE))</f>
        <v>WOK</v>
      </c>
      <c r="G71" s="18">
        <v>3</v>
      </c>
      <c r="H71" s="41" t="s">
        <v>774</v>
      </c>
      <c r="I71" s="162" t="str">
        <f t="shared" si="10"/>
        <v>WB</v>
      </c>
    </row>
    <row r="72" spans="1:9" ht="12.75">
      <c r="A72" s="308" t="s">
        <v>927</v>
      </c>
      <c r="B72" s="19" t="s">
        <v>1095</v>
      </c>
      <c r="C72" s="19" t="s">
        <v>19</v>
      </c>
      <c r="G72" s="18">
        <v>4</v>
      </c>
      <c r="H72" s="41" t="s">
        <v>775</v>
      </c>
      <c r="I72" s="162" t="str">
        <f t="shared" si="10"/>
        <v>WB</v>
      </c>
    </row>
    <row r="73" spans="1:9" ht="12.75">
      <c r="A73" s="19" t="s">
        <v>1096</v>
      </c>
      <c r="G73" s="18">
        <v>5</v>
      </c>
      <c r="H73" s="41" t="s">
        <v>776</v>
      </c>
      <c r="I73" s="162" t="str">
        <f t="shared" si="10"/>
        <v>RDG</v>
      </c>
    </row>
    <row r="74" spans="1:9" ht="12.75">
      <c r="A74" s="19" t="s">
        <v>91</v>
      </c>
      <c r="G74" s="18">
        <v>6</v>
      </c>
      <c r="H74" s="41" t="s">
        <v>777</v>
      </c>
      <c r="I74" s="162" t="str">
        <f t="shared" si="10"/>
        <v>RDG</v>
      </c>
    </row>
    <row r="75" spans="1:9" ht="12.75">
      <c r="A75" s="19">
        <v>1</v>
      </c>
      <c r="B75" s="293" t="s">
        <v>1097</v>
      </c>
      <c r="C75" s="19" t="str">
        <f aca="true" t="shared" si="11" ref="C75:C80">IF(OR($A75=0,$A75=""),"",VLOOKUP($A75,codes,2,FALSE))</f>
        <v>BRK</v>
      </c>
      <c r="G75" s="18">
        <v>7</v>
      </c>
      <c r="H75" s="41" t="s">
        <v>778</v>
      </c>
      <c r="I75" s="162" t="str">
        <f t="shared" si="10"/>
        <v>SL</v>
      </c>
    </row>
    <row r="76" spans="1:9" ht="12.75">
      <c r="A76" s="19">
        <v>3</v>
      </c>
      <c r="B76" s="293" t="s">
        <v>1098</v>
      </c>
      <c r="C76" s="19" t="str">
        <f t="shared" si="11"/>
        <v>WB</v>
      </c>
      <c r="G76" s="18">
        <v>9</v>
      </c>
      <c r="H76" s="41" t="s">
        <v>779</v>
      </c>
      <c r="I76" s="162" t="str">
        <f t="shared" si="10"/>
        <v>W&amp;M</v>
      </c>
    </row>
    <row r="77" spans="1:9" ht="12.75">
      <c r="A77" s="19">
        <v>6</v>
      </c>
      <c r="B77" s="293" t="s">
        <v>1099</v>
      </c>
      <c r="C77" s="19" t="str">
        <f t="shared" si="11"/>
        <v>RDG</v>
      </c>
      <c r="G77" s="18">
        <v>11</v>
      </c>
      <c r="H77" s="41" t="s">
        <v>780</v>
      </c>
      <c r="I77" s="162" t="str">
        <f t="shared" si="10"/>
        <v>WOK</v>
      </c>
    </row>
    <row r="78" spans="1:9" ht="12.75">
      <c r="A78" s="19">
        <v>7</v>
      </c>
      <c r="B78" s="293" t="s">
        <v>1100</v>
      </c>
      <c r="C78" s="19" t="str">
        <f t="shared" si="11"/>
        <v>SL</v>
      </c>
      <c r="G78" s="18">
        <v>12</v>
      </c>
      <c r="H78" s="41" t="s">
        <v>781</v>
      </c>
      <c r="I78" s="162" t="str">
        <f t="shared" si="10"/>
        <v>WOK</v>
      </c>
    </row>
    <row r="79" spans="1:9" ht="12.75">
      <c r="A79" s="40">
        <v>10</v>
      </c>
      <c r="B79" s="293" t="s">
        <v>1101</v>
      </c>
      <c r="C79" s="19" t="str">
        <f t="shared" si="11"/>
        <v>W&amp;M</v>
      </c>
      <c r="G79" s="18">
        <v>8</v>
      </c>
      <c r="H79" s="18" t="s">
        <v>782</v>
      </c>
      <c r="I79" s="162" t="str">
        <f t="shared" si="10"/>
        <v>SL</v>
      </c>
    </row>
    <row r="80" spans="1:9" ht="12.75">
      <c r="A80" s="19">
        <v>11</v>
      </c>
      <c r="B80" s="293" t="s">
        <v>1102</v>
      </c>
      <c r="C80" s="19" t="str">
        <f t="shared" si="11"/>
        <v>WOK</v>
      </c>
      <c r="I80" s="162">
        <f t="shared" si="10"/>
      </c>
    </row>
    <row r="81" ht="12.75">
      <c r="I81" s="162">
        <f t="shared" si="10"/>
      </c>
    </row>
    <row r="82" spans="1:9" ht="12.75">
      <c r="A82" s="40"/>
      <c r="B82" s="40"/>
      <c r="C82" s="40"/>
      <c r="G82" s="335" t="s">
        <v>783</v>
      </c>
      <c r="H82" s="335"/>
      <c r="I82" s="335"/>
    </row>
    <row r="83" spans="1:9" ht="12.75">
      <c r="A83" s="19" t="s">
        <v>96</v>
      </c>
      <c r="G83" s="18">
        <v>9</v>
      </c>
      <c r="H83" s="18" t="s">
        <v>784</v>
      </c>
      <c r="I83" s="162" t="str">
        <f t="shared" si="10"/>
        <v>W&amp;M</v>
      </c>
    </row>
    <row r="84" spans="1:9" ht="12.75">
      <c r="A84" s="19" t="s">
        <v>93</v>
      </c>
      <c r="G84" s="18">
        <v>1</v>
      </c>
      <c r="H84" s="18" t="s">
        <v>785</v>
      </c>
      <c r="I84" s="162" t="str">
        <f t="shared" si="10"/>
        <v>BRK</v>
      </c>
    </row>
    <row r="85" spans="1:9" ht="12.75">
      <c r="A85" s="19">
        <v>2</v>
      </c>
      <c r="B85" s="293" t="s">
        <v>1103</v>
      </c>
      <c r="C85" s="19" t="str">
        <f aca="true" t="shared" si="12" ref="C85:C90">IF(OR($A85=0,$A85=""),"",VLOOKUP($A85,codes,2,FALSE))</f>
        <v>BRK</v>
      </c>
      <c r="I85" s="162">
        <f t="shared" si="10"/>
      </c>
    </row>
    <row r="86" spans="1:9" ht="12.75">
      <c r="A86" s="19">
        <v>4</v>
      </c>
      <c r="B86" s="293" t="s">
        <v>1104</v>
      </c>
      <c r="C86" s="19" t="str">
        <f t="shared" si="12"/>
        <v>WB</v>
      </c>
      <c r="I86" s="162">
        <f t="shared" si="10"/>
      </c>
    </row>
    <row r="87" spans="1:9" ht="12.75">
      <c r="A87" s="19">
        <v>5</v>
      </c>
      <c r="B87" s="293" t="s">
        <v>1105</v>
      </c>
      <c r="C87" s="19" t="str">
        <f t="shared" si="12"/>
        <v>RDG</v>
      </c>
      <c r="I87" s="162">
        <f t="shared" si="10"/>
      </c>
    </row>
    <row r="88" spans="1:9" ht="12.75">
      <c r="A88" s="19">
        <v>9</v>
      </c>
      <c r="B88" s="293" t="s">
        <v>1106</v>
      </c>
      <c r="C88" s="19" t="str">
        <f t="shared" si="12"/>
        <v>W&amp;M</v>
      </c>
      <c r="I88" s="162">
        <f t="shared" si="10"/>
      </c>
    </row>
    <row r="89" spans="1:9" ht="12.75">
      <c r="A89" s="19">
        <v>8</v>
      </c>
      <c r="B89" s="293" t="s">
        <v>1107</v>
      </c>
      <c r="C89" s="19" t="str">
        <f t="shared" si="12"/>
        <v>SL</v>
      </c>
      <c r="I89" s="162">
        <f t="shared" si="10"/>
      </c>
    </row>
    <row r="90" spans="1:9" ht="12.75">
      <c r="A90" s="19">
        <v>12</v>
      </c>
      <c r="B90" s="293" t="s">
        <v>1108</v>
      </c>
      <c r="C90" s="19" t="str">
        <f t="shared" si="12"/>
        <v>WOK</v>
      </c>
      <c r="I90" s="162">
        <f t="shared" si="10"/>
      </c>
    </row>
    <row r="91" spans="1:9" ht="12.75">
      <c r="A91" s="308" t="s">
        <v>742</v>
      </c>
      <c r="B91" s="19" t="s">
        <v>1109</v>
      </c>
      <c r="C91" s="19" t="s">
        <v>18</v>
      </c>
      <c r="G91" s="41" t="s">
        <v>786</v>
      </c>
      <c r="I91" s="162"/>
    </row>
    <row r="92" spans="1:9" ht="12.75">
      <c r="A92" s="40"/>
      <c r="B92" s="40"/>
      <c r="G92" s="18">
        <v>1</v>
      </c>
      <c r="H92" s="18" t="s">
        <v>787</v>
      </c>
      <c r="I92" s="162" t="str">
        <f aca="true" t="shared" si="13" ref="I92:I109">IF(OR($G92=0,$G92=""),"",VLOOKUP($G92,codes,2,FALSE))</f>
        <v>BRK</v>
      </c>
    </row>
    <row r="93" spans="2:9" ht="12.75">
      <c r="B93" s="293"/>
      <c r="G93" s="18">
        <v>2</v>
      </c>
      <c r="H93" s="18" t="s">
        <v>788</v>
      </c>
      <c r="I93" s="162" t="str">
        <f t="shared" si="13"/>
        <v>BRK</v>
      </c>
    </row>
    <row r="94" spans="2:9" ht="12.75">
      <c r="B94" s="293"/>
      <c r="G94" s="18">
        <v>3</v>
      </c>
      <c r="H94" s="41" t="s">
        <v>789</v>
      </c>
      <c r="I94" s="162" t="str">
        <f t="shared" si="13"/>
        <v>WB</v>
      </c>
    </row>
    <row r="95" spans="2:9" ht="12.75">
      <c r="B95" s="293"/>
      <c r="G95" s="18">
        <v>4</v>
      </c>
      <c r="H95" s="41" t="s">
        <v>790</v>
      </c>
      <c r="I95" s="162" t="str">
        <f t="shared" si="13"/>
        <v>WB</v>
      </c>
    </row>
    <row r="96" spans="2:9" ht="12.75">
      <c r="B96" s="293"/>
      <c r="C96" s="40"/>
      <c r="G96" s="18">
        <v>5</v>
      </c>
      <c r="H96" s="41" t="s">
        <v>791</v>
      </c>
      <c r="I96" s="162" t="str">
        <f t="shared" si="13"/>
        <v>RDG</v>
      </c>
    </row>
    <row r="97" spans="2:9" ht="12.75">
      <c r="B97" s="40"/>
      <c r="C97" s="19">
        <f>IF(OR($A97=0,$A97=""),"",VLOOKUP($A97,codes,2,FALSE))</f>
      </c>
      <c r="G97" s="18">
        <v>6</v>
      </c>
      <c r="H97" s="41" t="s">
        <v>792</v>
      </c>
      <c r="I97" s="162" t="str">
        <f t="shared" si="13"/>
        <v>RDG</v>
      </c>
    </row>
    <row r="98" spans="1:9" ht="12.75">
      <c r="A98" s="40"/>
      <c r="B98" s="40"/>
      <c r="G98" s="18">
        <v>9</v>
      </c>
      <c r="H98" s="41" t="s">
        <v>793</v>
      </c>
      <c r="I98" s="162" t="str">
        <f t="shared" si="13"/>
        <v>W&amp;M</v>
      </c>
    </row>
    <row r="99" spans="2:9" ht="12.75">
      <c r="B99" s="293"/>
      <c r="G99" s="18">
        <v>10</v>
      </c>
      <c r="H99" s="41" t="s">
        <v>794</v>
      </c>
      <c r="I99" s="162" t="str">
        <f t="shared" si="13"/>
        <v>W&amp;M</v>
      </c>
    </row>
    <row r="100" spans="2:9" ht="12.75">
      <c r="B100" s="293"/>
      <c r="H100" s="41"/>
      <c r="I100" s="162">
        <f t="shared" si="13"/>
      </c>
    </row>
    <row r="101" spans="2:9" ht="12.75">
      <c r="B101" s="293"/>
      <c r="H101" s="41"/>
      <c r="I101" s="162">
        <f t="shared" si="13"/>
      </c>
    </row>
    <row r="102" spans="2:9" ht="12.75">
      <c r="B102" s="293"/>
      <c r="H102" s="41"/>
      <c r="I102" s="162">
        <f t="shared" si="13"/>
      </c>
    </row>
    <row r="103" spans="2:9" ht="12.75">
      <c r="B103" s="293"/>
      <c r="I103" s="162">
        <f t="shared" si="13"/>
      </c>
    </row>
    <row r="104" ht="12.75">
      <c r="I104" s="162">
        <f t="shared" si="13"/>
      </c>
    </row>
    <row r="105" ht="12.75">
      <c r="I105" s="162">
        <f t="shared" si="13"/>
      </c>
    </row>
    <row r="106" spans="1:9" ht="12.75">
      <c r="A106" s="19" t="s">
        <v>1128</v>
      </c>
      <c r="I106" s="162">
        <f t="shared" si="13"/>
      </c>
    </row>
    <row r="107" spans="1:9" ht="12.75">
      <c r="A107" s="19">
        <v>1</v>
      </c>
      <c r="B107" s="293" t="s">
        <v>1415</v>
      </c>
      <c r="C107" s="19" t="str">
        <f>IF(OR($A107=0,$A107=""),"",VLOOKUP($A107,codes,2,FALSE))</f>
        <v>BRK</v>
      </c>
      <c r="I107" s="162">
        <f t="shared" si="13"/>
      </c>
    </row>
    <row r="108" spans="1:9" ht="12.75">
      <c r="A108" s="19">
        <v>3</v>
      </c>
      <c r="B108" s="293" t="s">
        <v>1118</v>
      </c>
      <c r="C108" s="19" t="str">
        <f aca="true" t="shared" si="14" ref="C108:C117">IF(OR($A108=0,$A108=""),"",VLOOKUP($A108,codes,2,FALSE))</f>
        <v>WB</v>
      </c>
      <c r="I108" s="162">
        <f t="shared" si="13"/>
      </c>
    </row>
    <row r="109" spans="1:9" ht="12.75">
      <c r="A109" s="19">
        <v>4</v>
      </c>
      <c r="B109" s="293" t="s">
        <v>1119</v>
      </c>
      <c r="C109" s="19" t="str">
        <f t="shared" si="14"/>
        <v>WB</v>
      </c>
      <c r="I109" s="162">
        <f t="shared" si="13"/>
      </c>
    </row>
    <row r="110" spans="1:9" ht="12.75">
      <c r="A110" s="19">
        <v>5</v>
      </c>
      <c r="B110" s="293" t="s">
        <v>1120</v>
      </c>
      <c r="C110" s="19" t="str">
        <f t="shared" si="14"/>
        <v>RDG</v>
      </c>
      <c r="G110" s="18" t="s">
        <v>107</v>
      </c>
      <c r="I110" s="162"/>
    </row>
    <row r="111" spans="1:9" ht="12.75">
      <c r="A111" s="40">
        <v>6</v>
      </c>
      <c r="B111" s="293" t="s">
        <v>1121</v>
      </c>
      <c r="C111" s="19" t="str">
        <f t="shared" si="14"/>
        <v>RDG</v>
      </c>
      <c r="G111" s="41" t="s">
        <v>795</v>
      </c>
      <c r="I111" s="162"/>
    </row>
    <row r="112" spans="1:9" ht="12.75">
      <c r="A112" s="19">
        <v>7</v>
      </c>
      <c r="B112" s="293" t="s">
        <v>1122</v>
      </c>
      <c r="C112" s="19" t="str">
        <f t="shared" si="14"/>
        <v>SL</v>
      </c>
      <c r="G112" s="18">
        <v>5</v>
      </c>
      <c r="H112" s="41" t="s">
        <v>796</v>
      </c>
      <c r="I112" s="162" t="str">
        <f aca="true" t="shared" si="15" ref="I112:I117">IF(OR($G112=0,$G112=""),"",VLOOKUP($G112,codes,2,FALSE))</f>
        <v>RDG</v>
      </c>
    </row>
    <row r="113" spans="1:9" ht="12.75">
      <c r="A113" s="19">
        <v>9</v>
      </c>
      <c r="B113" s="293" t="s">
        <v>1123</v>
      </c>
      <c r="C113" s="19" t="str">
        <f t="shared" si="14"/>
        <v>W&amp;M</v>
      </c>
      <c r="G113" s="18">
        <v>9</v>
      </c>
      <c r="H113" s="41" t="s">
        <v>797</v>
      </c>
      <c r="I113" s="162" t="str">
        <f t="shared" si="15"/>
        <v>W&amp;M</v>
      </c>
    </row>
    <row r="114" spans="1:9" ht="12.75">
      <c r="A114" s="19">
        <v>10</v>
      </c>
      <c r="B114" s="293" t="s">
        <v>1124</v>
      </c>
      <c r="C114" s="19" t="str">
        <f t="shared" si="14"/>
        <v>W&amp;M</v>
      </c>
      <c r="H114" s="41"/>
      <c r="I114" s="162">
        <f t="shared" si="15"/>
      </c>
    </row>
    <row r="115" spans="1:9" ht="12.75">
      <c r="A115" s="19">
        <v>11</v>
      </c>
      <c r="B115" s="293" t="s">
        <v>1125</v>
      </c>
      <c r="C115" s="19" t="str">
        <f t="shared" si="14"/>
        <v>WOK</v>
      </c>
      <c r="H115" s="41"/>
      <c r="I115" s="162">
        <f t="shared" si="15"/>
      </c>
    </row>
    <row r="116" spans="1:9" ht="12.75">
      <c r="A116" s="19">
        <v>12</v>
      </c>
      <c r="B116" s="293" t="s">
        <v>1126</v>
      </c>
      <c r="C116" s="19" t="str">
        <f t="shared" si="14"/>
        <v>WOK</v>
      </c>
      <c r="H116" s="41"/>
      <c r="I116" s="162">
        <f t="shared" si="15"/>
      </c>
    </row>
    <row r="117" spans="1:9" ht="12.75">
      <c r="A117" s="19">
        <v>8</v>
      </c>
      <c r="B117" s="293" t="s">
        <v>1127</v>
      </c>
      <c r="C117" s="19" t="str">
        <f t="shared" si="14"/>
        <v>SL</v>
      </c>
      <c r="I117" s="162">
        <f t="shared" si="15"/>
      </c>
    </row>
    <row r="118" spans="1:9" ht="12.75">
      <c r="A118" s="19">
        <v>2</v>
      </c>
      <c r="B118" s="40" t="s">
        <v>1395</v>
      </c>
      <c r="C118" s="40" t="s">
        <v>20</v>
      </c>
      <c r="G118" s="41" t="s">
        <v>798</v>
      </c>
      <c r="I118" s="162"/>
    </row>
    <row r="119" spans="1:9" ht="12.75">
      <c r="A119" s="19" t="s">
        <v>1129</v>
      </c>
      <c r="G119" s="18">
        <v>1</v>
      </c>
      <c r="H119" s="41" t="s">
        <v>799</v>
      </c>
      <c r="I119" s="162" t="str">
        <f aca="true" t="shared" si="16" ref="I119:I140">IF(OR($G119=0,$G119=""),"",VLOOKUP($G119,codes,2,FALSE))</f>
        <v>BRK</v>
      </c>
    </row>
    <row r="120" spans="1:9" ht="12.75">
      <c r="A120" s="19">
        <v>1</v>
      </c>
      <c r="B120" s="293" t="s">
        <v>1130</v>
      </c>
      <c r="C120" s="40" t="s">
        <v>20</v>
      </c>
      <c r="G120" s="18">
        <v>2</v>
      </c>
      <c r="H120" s="41" t="s">
        <v>800</v>
      </c>
      <c r="I120" s="162" t="str">
        <f t="shared" si="16"/>
        <v>BRK</v>
      </c>
    </row>
    <row r="121" spans="1:9" ht="12.75">
      <c r="A121" s="19">
        <v>2</v>
      </c>
      <c r="B121" s="293" t="s">
        <v>1131</v>
      </c>
      <c r="C121" s="19" t="str">
        <f aca="true" t="shared" si="17" ref="C121:C128">IF(OR($A121=0,$A121=""),"",VLOOKUP($A121,codes,2,FALSE))</f>
        <v>BRK</v>
      </c>
      <c r="G121" s="18">
        <v>3</v>
      </c>
      <c r="H121" s="41" t="s">
        <v>801</v>
      </c>
      <c r="I121" s="162" t="str">
        <f t="shared" si="16"/>
        <v>WB</v>
      </c>
    </row>
    <row r="122" spans="1:9" ht="12.75">
      <c r="A122" s="19">
        <v>3</v>
      </c>
      <c r="B122" s="293" t="s">
        <v>1416</v>
      </c>
      <c r="C122" s="19" t="str">
        <f t="shared" si="17"/>
        <v>WB</v>
      </c>
      <c r="G122" s="18">
        <v>4</v>
      </c>
      <c r="H122" s="41" t="s">
        <v>802</v>
      </c>
      <c r="I122" s="162" t="str">
        <f t="shared" si="16"/>
        <v>WB</v>
      </c>
    </row>
    <row r="123" spans="1:9" ht="12.75">
      <c r="A123" s="19">
        <v>4</v>
      </c>
      <c r="B123" s="293" t="s">
        <v>1132</v>
      </c>
      <c r="C123" s="19" t="str">
        <f t="shared" si="17"/>
        <v>WB</v>
      </c>
      <c r="G123" s="18">
        <v>5</v>
      </c>
      <c r="H123" s="41" t="s">
        <v>803</v>
      </c>
      <c r="I123" s="162" t="str">
        <f t="shared" si="16"/>
        <v>RDG</v>
      </c>
    </row>
    <row r="124" spans="1:9" ht="12.75">
      <c r="A124" s="19">
        <v>5</v>
      </c>
      <c r="B124" s="293" t="s">
        <v>1133</v>
      </c>
      <c r="C124" s="19" t="str">
        <f t="shared" si="17"/>
        <v>RDG</v>
      </c>
      <c r="G124" s="18">
        <v>6</v>
      </c>
      <c r="H124" s="41" t="s">
        <v>804</v>
      </c>
      <c r="I124" s="162" t="str">
        <f t="shared" si="16"/>
        <v>RDG</v>
      </c>
    </row>
    <row r="125" spans="1:9" ht="12.75">
      <c r="A125" s="19">
        <v>6</v>
      </c>
      <c r="B125" s="293" t="s">
        <v>1134</v>
      </c>
      <c r="C125" s="19" t="str">
        <f t="shared" si="17"/>
        <v>RDG</v>
      </c>
      <c r="G125" s="18">
        <v>8</v>
      </c>
      <c r="H125" s="41" t="s">
        <v>805</v>
      </c>
      <c r="I125" s="162" t="str">
        <f t="shared" si="16"/>
        <v>SL</v>
      </c>
    </row>
    <row r="126" spans="1:9" ht="12.75">
      <c r="A126" s="19">
        <v>9</v>
      </c>
      <c r="B126" s="293" t="s">
        <v>1135</v>
      </c>
      <c r="C126" s="19" t="str">
        <f t="shared" si="17"/>
        <v>W&amp;M</v>
      </c>
      <c r="G126" s="18">
        <v>9</v>
      </c>
      <c r="H126" s="41" t="s">
        <v>806</v>
      </c>
      <c r="I126" s="162" t="str">
        <f t="shared" si="16"/>
        <v>W&amp;M</v>
      </c>
    </row>
    <row r="127" spans="1:9" ht="12.75">
      <c r="A127" s="19">
        <v>10</v>
      </c>
      <c r="B127" s="293" t="s">
        <v>1136</v>
      </c>
      <c r="C127" s="19" t="str">
        <f t="shared" si="17"/>
        <v>W&amp;M</v>
      </c>
      <c r="G127" s="18">
        <v>10</v>
      </c>
      <c r="H127" s="41" t="s">
        <v>807</v>
      </c>
      <c r="I127" s="162" t="str">
        <f t="shared" si="16"/>
        <v>W&amp;M</v>
      </c>
    </row>
    <row r="128" spans="1:9" ht="12.75">
      <c r="A128" s="294">
        <v>11</v>
      </c>
      <c r="B128" s="293" t="s">
        <v>1137</v>
      </c>
      <c r="C128" s="19" t="str">
        <f t="shared" si="17"/>
        <v>WOK</v>
      </c>
      <c r="G128" s="18">
        <v>11</v>
      </c>
      <c r="H128" s="41" t="s">
        <v>808</v>
      </c>
      <c r="I128" s="162" t="str">
        <f t="shared" si="16"/>
        <v>WOK</v>
      </c>
    </row>
    <row r="129" spans="1:9" ht="12.75">
      <c r="A129" s="308" t="s">
        <v>733</v>
      </c>
      <c r="B129" s="293" t="s">
        <v>1138</v>
      </c>
      <c r="C129" s="19" t="s">
        <v>16</v>
      </c>
      <c r="G129" s="18">
        <v>12</v>
      </c>
      <c r="H129" s="41" t="s">
        <v>809</v>
      </c>
      <c r="I129" s="162" t="str">
        <f t="shared" si="16"/>
        <v>WOK</v>
      </c>
    </row>
    <row r="130" spans="1:9" ht="12.75">
      <c r="A130" s="19">
        <v>12</v>
      </c>
      <c r="B130" s="40" t="s">
        <v>1396</v>
      </c>
      <c r="C130" s="40" t="s">
        <v>19</v>
      </c>
      <c r="H130" s="41"/>
      <c r="I130" s="162"/>
    </row>
    <row r="131" spans="2:9" ht="12.75">
      <c r="B131" s="293"/>
      <c r="I131" s="162"/>
    </row>
    <row r="132" spans="2:9" ht="12.75">
      <c r="B132" s="293"/>
      <c r="I132" s="162">
        <f t="shared" si="16"/>
      </c>
    </row>
    <row r="133" ht="12.75">
      <c r="I133" s="162">
        <f t="shared" si="16"/>
      </c>
    </row>
    <row r="134" spans="1:9" ht="12.75">
      <c r="A134" s="19" t="s">
        <v>1139</v>
      </c>
      <c r="I134" s="162">
        <f t="shared" si="16"/>
      </c>
    </row>
    <row r="135" spans="1:9" ht="12.75">
      <c r="A135" s="19">
        <v>1</v>
      </c>
      <c r="B135" s="293" t="s">
        <v>1140</v>
      </c>
      <c r="C135" s="40" t="s">
        <v>20</v>
      </c>
      <c r="I135" s="162">
        <f t="shared" si="16"/>
      </c>
    </row>
    <row r="136" spans="1:9" ht="12.75">
      <c r="A136" s="19">
        <v>2</v>
      </c>
      <c r="B136" s="293" t="s">
        <v>1417</v>
      </c>
      <c r="C136" s="40" t="s">
        <v>732</v>
      </c>
      <c r="I136" s="162">
        <f t="shared" si="16"/>
      </c>
    </row>
    <row r="137" spans="1:9" ht="12.75">
      <c r="A137" s="19">
        <v>3</v>
      </c>
      <c r="B137" s="293" t="s">
        <v>1141</v>
      </c>
      <c r="C137" s="19" t="str">
        <f aca="true" t="shared" si="18" ref="C137:C160">IF(OR($A137=0,$A137=""),"",VLOOKUP($A137,codes,2,FALSE))</f>
        <v>WB</v>
      </c>
      <c r="I137" s="162">
        <f t="shared" si="16"/>
      </c>
    </row>
    <row r="138" spans="1:9" ht="12.75">
      <c r="A138" s="40">
        <v>4</v>
      </c>
      <c r="B138" s="293" t="s">
        <v>1142</v>
      </c>
      <c r="C138" s="19" t="str">
        <f t="shared" si="18"/>
        <v>WB</v>
      </c>
      <c r="I138" s="162">
        <f t="shared" si="16"/>
      </c>
    </row>
    <row r="139" spans="1:9" ht="12.75">
      <c r="A139" s="40">
        <v>9</v>
      </c>
      <c r="B139" s="293" t="s">
        <v>1143</v>
      </c>
      <c r="C139" s="19" t="str">
        <f t="shared" si="18"/>
        <v>W&amp;M</v>
      </c>
      <c r="I139" s="162">
        <f t="shared" si="16"/>
      </c>
    </row>
    <row r="140" spans="1:9" ht="12.75">
      <c r="A140" s="19">
        <v>10</v>
      </c>
      <c r="B140" s="293" t="s">
        <v>1144</v>
      </c>
      <c r="C140" s="19" t="str">
        <f t="shared" si="18"/>
        <v>W&amp;M</v>
      </c>
      <c r="I140" s="162">
        <f t="shared" si="16"/>
      </c>
    </row>
    <row r="141" spans="1:9" ht="12.75">
      <c r="A141" s="19">
        <v>11</v>
      </c>
      <c r="B141" s="293" t="s">
        <v>1145</v>
      </c>
      <c r="C141" s="19" t="str">
        <f t="shared" si="18"/>
        <v>WOK</v>
      </c>
      <c r="G141" s="18" t="s">
        <v>810</v>
      </c>
      <c r="I141" s="162"/>
    </row>
    <row r="142" spans="1:9" ht="12.75">
      <c r="A142" s="19">
        <v>12</v>
      </c>
      <c r="B142" s="293" t="s">
        <v>1146</v>
      </c>
      <c r="C142" s="19" t="str">
        <f t="shared" si="18"/>
        <v>WOK</v>
      </c>
      <c r="G142" s="18">
        <v>1</v>
      </c>
      <c r="H142" s="41" t="s">
        <v>811</v>
      </c>
      <c r="I142" s="162" t="str">
        <f aca="true" t="shared" si="19" ref="I142:I164">IF(OR($G142=0,$G142=""),"",VLOOKUP($G142,codes,2,FALSE))</f>
        <v>BRK</v>
      </c>
    </row>
    <row r="143" spans="1:9" ht="12.75">
      <c r="A143" s="308" t="s">
        <v>1037</v>
      </c>
      <c r="B143" s="40" t="s">
        <v>1147</v>
      </c>
      <c r="C143" s="19" t="s">
        <v>20</v>
      </c>
      <c r="G143" s="18">
        <v>2</v>
      </c>
      <c r="H143" s="41" t="s">
        <v>812</v>
      </c>
      <c r="I143" s="162" t="str">
        <f t="shared" si="19"/>
        <v>BRK</v>
      </c>
    </row>
    <row r="144" spans="1:9" ht="12.75">
      <c r="A144" s="19" t="s">
        <v>1148</v>
      </c>
      <c r="G144" s="18">
        <v>3</v>
      </c>
      <c r="H144" s="41" t="s">
        <v>813</v>
      </c>
      <c r="I144" s="162" t="str">
        <f t="shared" si="19"/>
        <v>WB</v>
      </c>
    </row>
    <row r="145" spans="1:9" ht="12.75">
      <c r="A145" s="19">
        <v>1</v>
      </c>
      <c r="B145" s="293" t="s">
        <v>1149</v>
      </c>
      <c r="C145" s="19" t="str">
        <f t="shared" si="18"/>
        <v>BRK</v>
      </c>
      <c r="G145" s="18">
        <v>4</v>
      </c>
      <c r="H145" s="41" t="s">
        <v>814</v>
      </c>
      <c r="I145" s="162" t="str">
        <f t="shared" si="19"/>
        <v>WB</v>
      </c>
    </row>
    <row r="146" spans="1:9" ht="12.75">
      <c r="A146" s="19">
        <v>2</v>
      </c>
      <c r="B146" s="293" t="s">
        <v>1150</v>
      </c>
      <c r="C146" s="19" t="str">
        <f t="shared" si="18"/>
        <v>BRK</v>
      </c>
      <c r="G146" s="18">
        <v>5</v>
      </c>
      <c r="H146" s="41" t="s">
        <v>815</v>
      </c>
      <c r="I146" s="162" t="str">
        <f t="shared" si="19"/>
        <v>RDG</v>
      </c>
    </row>
    <row r="147" spans="1:9" ht="12.75">
      <c r="A147" s="19">
        <v>3</v>
      </c>
      <c r="B147" s="293" t="s">
        <v>1151</v>
      </c>
      <c r="C147" s="19" t="str">
        <f t="shared" si="18"/>
        <v>WB</v>
      </c>
      <c r="G147" s="18">
        <v>6</v>
      </c>
      <c r="H147" s="41" t="s">
        <v>816</v>
      </c>
      <c r="I147" s="162" t="str">
        <f t="shared" si="19"/>
        <v>RDG</v>
      </c>
    </row>
    <row r="148" spans="1:9" ht="12.75">
      <c r="A148" s="19">
        <v>4</v>
      </c>
      <c r="B148" s="293" t="s">
        <v>1152</v>
      </c>
      <c r="C148" s="19" t="str">
        <f t="shared" si="18"/>
        <v>WB</v>
      </c>
      <c r="G148" s="18">
        <v>7</v>
      </c>
      <c r="H148" s="41" t="s">
        <v>817</v>
      </c>
      <c r="I148" s="162" t="str">
        <f t="shared" si="19"/>
        <v>SL</v>
      </c>
    </row>
    <row r="149" spans="1:9" ht="12.75">
      <c r="A149" s="19">
        <v>5</v>
      </c>
      <c r="B149" s="293" t="s">
        <v>1153</v>
      </c>
      <c r="C149" s="19" t="str">
        <f t="shared" si="18"/>
        <v>RDG</v>
      </c>
      <c r="G149" s="18">
        <v>8</v>
      </c>
      <c r="H149" s="41" t="s">
        <v>818</v>
      </c>
      <c r="I149" s="162" t="str">
        <f t="shared" si="19"/>
        <v>SL</v>
      </c>
    </row>
    <row r="150" spans="1:9" ht="12.75">
      <c r="A150" s="19">
        <v>6</v>
      </c>
      <c r="B150" s="293" t="s">
        <v>1154</v>
      </c>
      <c r="C150" s="19" t="str">
        <f t="shared" si="18"/>
        <v>RDG</v>
      </c>
      <c r="G150" s="18">
        <v>9</v>
      </c>
      <c r="H150" s="41" t="s">
        <v>819</v>
      </c>
      <c r="I150" s="162" t="str">
        <f t="shared" si="19"/>
        <v>W&amp;M</v>
      </c>
    </row>
    <row r="151" spans="1:9" ht="12.75">
      <c r="A151" s="19">
        <v>7</v>
      </c>
      <c r="B151" s="19" t="s">
        <v>1156</v>
      </c>
      <c r="C151" s="19" t="str">
        <f t="shared" si="18"/>
        <v>SL</v>
      </c>
      <c r="G151" s="18">
        <v>10</v>
      </c>
      <c r="H151" s="41" t="s">
        <v>820</v>
      </c>
      <c r="I151" s="162" t="str">
        <f t="shared" si="19"/>
        <v>W&amp;M</v>
      </c>
    </row>
    <row r="152" spans="1:9" ht="12.75">
      <c r="A152" s="19">
        <v>8</v>
      </c>
      <c r="B152" s="293" t="s">
        <v>1155</v>
      </c>
      <c r="C152" s="19" t="str">
        <f t="shared" si="18"/>
        <v>SL</v>
      </c>
      <c r="G152" s="18">
        <v>11</v>
      </c>
      <c r="H152" s="41" t="s">
        <v>821</v>
      </c>
      <c r="I152" s="162" t="str">
        <f t="shared" si="19"/>
        <v>WOK</v>
      </c>
    </row>
    <row r="153" spans="1:9" ht="12.75">
      <c r="A153" s="19">
        <v>9</v>
      </c>
      <c r="B153" s="293" t="s">
        <v>1157</v>
      </c>
      <c r="C153" s="19" t="str">
        <f t="shared" si="18"/>
        <v>W&amp;M</v>
      </c>
      <c r="G153" s="18">
        <v>12</v>
      </c>
      <c r="H153" s="18" t="s">
        <v>822</v>
      </c>
      <c r="I153" s="162" t="str">
        <f t="shared" si="19"/>
        <v>WOK</v>
      </c>
    </row>
    <row r="154" spans="1:9" ht="12.75">
      <c r="A154" s="19">
        <v>10</v>
      </c>
      <c r="B154" s="293" t="s">
        <v>1158</v>
      </c>
      <c r="C154" s="19" t="str">
        <f t="shared" si="18"/>
        <v>W&amp;M</v>
      </c>
      <c r="G154" s="307" t="s">
        <v>743</v>
      </c>
      <c r="H154" s="18" t="s">
        <v>823</v>
      </c>
      <c r="I154" s="162" t="s">
        <v>22</v>
      </c>
    </row>
    <row r="155" spans="1:9" ht="12.75">
      <c r="A155" s="19">
        <v>11</v>
      </c>
      <c r="B155" s="293" t="s">
        <v>1159</v>
      </c>
      <c r="C155" s="19" t="str">
        <f t="shared" si="18"/>
        <v>WOK</v>
      </c>
      <c r="I155" s="162">
        <f t="shared" si="19"/>
      </c>
    </row>
    <row r="156" spans="1:9" ht="12.75">
      <c r="A156" s="19">
        <v>12</v>
      </c>
      <c r="B156" s="19" t="s">
        <v>1160</v>
      </c>
      <c r="C156" s="19" t="str">
        <f t="shared" si="18"/>
        <v>WOK</v>
      </c>
      <c r="I156" s="162">
        <f t="shared" si="19"/>
      </c>
    </row>
    <row r="157" spans="1:9" ht="12.75">
      <c r="A157" s="308" t="s">
        <v>742</v>
      </c>
      <c r="B157" s="19" t="s">
        <v>1391</v>
      </c>
      <c r="C157" s="19" t="s">
        <v>18</v>
      </c>
      <c r="I157" s="162"/>
    </row>
    <row r="158" spans="1:9" ht="12.75">
      <c r="A158" s="19" t="s">
        <v>1161</v>
      </c>
      <c r="I158" s="162">
        <f t="shared" si="19"/>
      </c>
    </row>
    <row r="159" spans="1:9" ht="12.75">
      <c r="A159" s="19">
        <v>7</v>
      </c>
      <c r="B159" s="293" t="s">
        <v>1162</v>
      </c>
      <c r="C159" s="19" t="str">
        <f t="shared" si="18"/>
        <v>SL</v>
      </c>
      <c r="I159" s="162">
        <f t="shared" si="19"/>
      </c>
    </row>
    <row r="160" spans="2:9" ht="12.75">
      <c r="B160" s="293"/>
      <c r="C160" s="19">
        <f t="shared" si="18"/>
      </c>
      <c r="I160" s="162">
        <f t="shared" si="19"/>
      </c>
    </row>
    <row r="161" ht="12.75">
      <c r="I161" s="162">
        <f t="shared" si="19"/>
      </c>
    </row>
    <row r="162" spans="1:9" ht="12.75">
      <c r="A162" s="19" t="s">
        <v>1163</v>
      </c>
      <c r="I162" s="162">
        <f t="shared" si="19"/>
      </c>
    </row>
    <row r="163" spans="1:9" ht="12.75">
      <c r="A163" s="19">
        <v>7</v>
      </c>
      <c r="B163" s="293" t="s">
        <v>1164</v>
      </c>
      <c r="C163" s="19" t="str">
        <f aca="true" t="shared" si="20" ref="C163:C170">IF(OR($A163=0,$A163=""),"",VLOOKUP($A163,codes,2,FALSE))</f>
        <v>SL</v>
      </c>
      <c r="I163" s="162">
        <f t="shared" si="19"/>
      </c>
    </row>
    <row r="164" spans="1:9" ht="12.75">
      <c r="A164" s="19">
        <v>11</v>
      </c>
      <c r="B164" s="293" t="s">
        <v>1165</v>
      </c>
      <c r="C164" s="19" t="str">
        <f t="shared" si="20"/>
        <v>WOK</v>
      </c>
      <c r="I164" s="162">
        <f t="shared" si="19"/>
      </c>
    </row>
    <row r="165" spans="2:9" ht="12.75">
      <c r="B165" s="293"/>
      <c r="C165" s="19">
        <f t="shared" si="20"/>
      </c>
      <c r="G165" s="41" t="s">
        <v>824</v>
      </c>
      <c r="I165" s="162"/>
    </row>
    <row r="166" spans="2:9" ht="12.75">
      <c r="B166" s="293"/>
      <c r="C166" s="19">
        <f t="shared" si="20"/>
      </c>
      <c r="G166" s="18">
        <v>1</v>
      </c>
      <c r="H166" s="41" t="s">
        <v>825</v>
      </c>
      <c r="I166" s="162" t="str">
        <f aca="true" t="shared" si="21" ref="I166:I189">IF(OR($G166=0,$G166=""),"",VLOOKUP($G166,codes,2,FALSE))</f>
        <v>BRK</v>
      </c>
    </row>
    <row r="167" spans="2:9" ht="12.75">
      <c r="B167" s="293"/>
      <c r="C167" s="19">
        <f t="shared" si="20"/>
      </c>
      <c r="G167" s="18">
        <v>2</v>
      </c>
      <c r="H167" s="41" t="s">
        <v>826</v>
      </c>
      <c r="I167" s="162" t="str">
        <f t="shared" si="21"/>
        <v>BRK</v>
      </c>
    </row>
    <row r="168" spans="2:9" ht="12.75">
      <c r="B168" s="293"/>
      <c r="C168" s="19">
        <f t="shared" si="20"/>
      </c>
      <c r="G168" s="18">
        <v>3</v>
      </c>
      <c r="H168" s="41" t="s">
        <v>827</v>
      </c>
      <c r="I168" s="162" t="str">
        <f t="shared" si="21"/>
        <v>WB</v>
      </c>
    </row>
    <row r="169" spans="3:9" ht="12.75">
      <c r="C169" s="19">
        <f t="shared" si="20"/>
      </c>
      <c r="G169" s="18">
        <v>4</v>
      </c>
      <c r="H169" s="41" t="s">
        <v>828</v>
      </c>
      <c r="I169" s="162" t="str">
        <f t="shared" si="21"/>
        <v>WB</v>
      </c>
    </row>
    <row r="170" spans="3:9" ht="12.75">
      <c r="C170" s="19">
        <f t="shared" si="20"/>
      </c>
      <c r="G170" s="18">
        <v>5</v>
      </c>
      <c r="H170" s="41" t="s">
        <v>829</v>
      </c>
      <c r="I170" s="162" t="str">
        <f t="shared" si="21"/>
        <v>RDG</v>
      </c>
    </row>
    <row r="171" spans="1:9" ht="12.75">
      <c r="A171" s="19" t="s">
        <v>1176</v>
      </c>
      <c r="G171" s="18">
        <v>6</v>
      </c>
      <c r="H171" s="41" t="s">
        <v>830</v>
      </c>
      <c r="I171" s="162" t="str">
        <f t="shared" si="21"/>
        <v>RDG</v>
      </c>
    </row>
    <row r="172" spans="1:9" ht="12.75">
      <c r="A172" s="19" t="s">
        <v>91</v>
      </c>
      <c r="G172" s="41">
        <v>9</v>
      </c>
      <c r="H172" s="41" t="s">
        <v>831</v>
      </c>
      <c r="I172" s="162" t="str">
        <f t="shared" si="21"/>
        <v>W&amp;M</v>
      </c>
    </row>
    <row r="173" spans="1:9" ht="12.75">
      <c r="A173" s="19">
        <v>1</v>
      </c>
      <c r="B173" s="293" t="s">
        <v>1166</v>
      </c>
      <c r="C173" s="19" t="str">
        <f aca="true" t="shared" si="22" ref="C173:C178">IF(OR($A173=0,$A173=""),"",VLOOKUP($A173,codes,2,FALSE))</f>
        <v>BRK</v>
      </c>
      <c r="G173" s="18">
        <v>10</v>
      </c>
      <c r="H173" s="41" t="s">
        <v>832</v>
      </c>
      <c r="I173" s="162" t="str">
        <f t="shared" si="21"/>
        <v>W&amp;M</v>
      </c>
    </row>
    <row r="174" spans="1:9" ht="12.75">
      <c r="A174" s="19">
        <v>4</v>
      </c>
      <c r="B174" s="19" t="s">
        <v>1167</v>
      </c>
      <c r="C174" s="19" t="str">
        <f t="shared" si="22"/>
        <v>WB</v>
      </c>
      <c r="G174" s="18">
        <v>7</v>
      </c>
      <c r="H174" s="41" t="s">
        <v>1053</v>
      </c>
      <c r="I174" s="162" t="str">
        <f t="shared" si="21"/>
        <v>SL</v>
      </c>
    </row>
    <row r="175" spans="1:9" ht="12.75">
      <c r="A175" s="19">
        <v>5</v>
      </c>
      <c r="B175" s="293" t="s">
        <v>1168</v>
      </c>
      <c r="C175" s="19" t="str">
        <f t="shared" si="22"/>
        <v>RDG</v>
      </c>
      <c r="H175" s="41"/>
      <c r="I175" s="162">
        <f t="shared" si="21"/>
      </c>
    </row>
    <row r="176" spans="1:9" ht="12.75">
      <c r="A176" s="19">
        <v>9</v>
      </c>
      <c r="B176" s="293" t="s">
        <v>1169</v>
      </c>
      <c r="C176" s="19" t="str">
        <f t="shared" si="22"/>
        <v>W&amp;M</v>
      </c>
      <c r="H176" s="41"/>
      <c r="I176" s="162">
        <f t="shared" si="21"/>
      </c>
    </row>
    <row r="177" spans="1:9" ht="12.75">
      <c r="A177" s="19">
        <v>11</v>
      </c>
      <c r="B177" s="293" t="s">
        <v>1170</v>
      </c>
      <c r="C177" s="19" t="str">
        <f t="shared" si="22"/>
        <v>WOK</v>
      </c>
      <c r="H177" s="41"/>
      <c r="I177" s="162">
        <f t="shared" si="21"/>
      </c>
    </row>
    <row r="178" spans="1:9" ht="12.75">
      <c r="A178" s="294"/>
      <c r="B178" s="40"/>
      <c r="C178" s="19">
        <f t="shared" si="22"/>
      </c>
      <c r="I178" s="162">
        <f t="shared" si="21"/>
      </c>
    </row>
    <row r="179" spans="1:9" ht="12.75">
      <c r="A179" s="19" t="s">
        <v>93</v>
      </c>
      <c r="I179" s="162">
        <f t="shared" si="21"/>
      </c>
    </row>
    <row r="180" spans="1:9" ht="12.75">
      <c r="A180" s="19">
        <v>2</v>
      </c>
      <c r="B180" s="293" t="s">
        <v>1171</v>
      </c>
      <c r="C180" s="19" t="str">
        <f aca="true" t="shared" si="23" ref="C180:C186">IF(OR($A180=0,$A180=""),"",VLOOKUP($A180,codes,2,FALSE))</f>
        <v>BRK</v>
      </c>
      <c r="I180" s="162">
        <f t="shared" si="21"/>
      </c>
    </row>
    <row r="181" spans="1:9" ht="12.75">
      <c r="A181" s="19">
        <v>3</v>
      </c>
      <c r="B181" s="293" t="s">
        <v>1172</v>
      </c>
      <c r="C181" s="19" t="str">
        <f t="shared" si="23"/>
        <v>WB</v>
      </c>
      <c r="I181" s="162">
        <f t="shared" si="21"/>
      </c>
    </row>
    <row r="182" spans="1:9" ht="12.75">
      <c r="A182" s="19">
        <v>10</v>
      </c>
      <c r="B182" s="293" t="s">
        <v>1173</v>
      </c>
      <c r="C182" s="19" t="str">
        <f t="shared" si="23"/>
        <v>W&amp;M</v>
      </c>
      <c r="I182" s="162">
        <f t="shared" si="21"/>
      </c>
    </row>
    <row r="183" spans="1:9" ht="12.75">
      <c r="A183" s="19">
        <v>12</v>
      </c>
      <c r="B183" s="293" t="s">
        <v>1174</v>
      </c>
      <c r="C183" s="19" t="str">
        <f t="shared" si="23"/>
        <v>WOK</v>
      </c>
      <c r="I183" s="162">
        <f t="shared" si="21"/>
      </c>
    </row>
    <row r="184" spans="1:9" ht="12.75">
      <c r="A184" s="308" t="s">
        <v>730</v>
      </c>
      <c r="B184" s="293" t="s">
        <v>1175</v>
      </c>
      <c r="C184" s="19" t="s">
        <v>19</v>
      </c>
      <c r="I184" s="162">
        <f t="shared" si="21"/>
      </c>
    </row>
    <row r="185" spans="2:9" ht="12.75">
      <c r="B185" s="293"/>
      <c r="C185" s="19">
        <f t="shared" si="23"/>
      </c>
      <c r="I185" s="162">
        <f t="shared" si="21"/>
      </c>
    </row>
    <row r="186" spans="2:9" ht="12.75">
      <c r="B186" s="40"/>
      <c r="C186" s="19">
        <f t="shared" si="23"/>
      </c>
      <c r="I186" s="162">
        <f t="shared" si="21"/>
      </c>
    </row>
    <row r="187" spans="1:9" ht="12.75">
      <c r="A187" s="19" t="s">
        <v>1177</v>
      </c>
      <c r="I187" s="162">
        <f t="shared" si="21"/>
      </c>
    </row>
    <row r="188" spans="1:9" ht="12.75">
      <c r="A188" s="40" t="s">
        <v>353</v>
      </c>
      <c r="I188" s="162">
        <f t="shared" si="21"/>
      </c>
    </row>
    <row r="189" spans="1:9" ht="12.75">
      <c r="A189" s="19">
        <v>1</v>
      </c>
      <c r="B189" s="293" t="s">
        <v>1418</v>
      </c>
      <c r="C189" s="19" t="str">
        <f aca="true" t="shared" si="24" ref="C189:C195">IF(OR($A189=0,$A189=""),"",VLOOKUP($A189,codes,2,FALSE))</f>
        <v>BRK</v>
      </c>
      <c r="I189" s="162">
        <f t="shared" si="21"/>
      </c>
    </row>
    <row r="190" spans="1:9" ht="12.75">
      <c r="A190" s="19">
        <v>2</v>
      </c>
      <c r="B190" s="293" t="s">
        <v>1178</v>
      </c>
      <c r="C190" s="19" t="str">
        <f t="shared" si="24"/>
        <v>BRK</v>
      </c>
      <c r="G190" s="41" t="s">
        <v>833</v>
      </c>
      <c r="I190" s="162"/>
    </row>
    <row r="191" spans="1:9" ht="12.75">
      <c r="A191" s="19">
        <v>3</v>
      </c>
      <c r="B191" s="293" t="s">
        <v>1179</v>
      </c>
      <c r="C191" s="19" t="str">
        <f t="shared" si="24"/>
        <v>WB</v>
      </c>
      <c r="G191" s="18">
        <v>1</v>
      </c>
      <c r="H191" s="41" t="s">
        <v>834</v>
      </c>
      <c r="I191" s="162" t="str">
        <f aca="true" t="shared" si="25" ref="I191:I214">IF(OR($G191=0,$G191=""),"",VLOOKUP($G191,codes,2,FALSE))</f>
        <v>BRK</v>
      </c>
    </row>
    <row r="192" spans="1:9" ht="12.75">
      <c r="A192" s="19">
        <v>5</v>
      </c>
      <c r="B192" s="293" t="s">
        <v>1180</v>
      </c>
      <c r="C192" s="19" t="str">
        <f t="shared" si="24"/>
        <v>RDG</v>
      </c>
      <c r="G192" s="18">
        <v>2</v>
      </c>
      <c r="H192" s="41" t="s">
        <v>835</v>
      </c>
      <c r="I192" s="162" t="str">
        <f t="shared" si="25"/>
        <v>BRK</v>
      </c>
    </row>
    <row r="193" spans="1:9" ht="12.75">
      <c r="A193" s="19">
        <v>11</v>
      </c>
      <c r="B193" s="293" t="s">
        <v>1181</v>
      </c>
      <c r="C193" s="19" t="str">
        <f t="shared" si="24"/>
        <v>WOK</v>
      </c>
      <c r="G193" s="18">
        <v>3</v>
      </c>
      <c r="H193" s="41" t="s">
        <v>836</v>
      </c>
      <c r="I193" s="162" t="str">
        <f t="shared" si="25"/>
        <v>WB</v>
      </c>
    </row>
    <row r="194" spans="2:9" ht="12.75">
      <c r="B194" s="293"/>
      <c r="C194" s="19">
        <f t="shared" si="24"/>
      </c>
      <c r="G194" s="18">
        <v>4</v>
      </c>
      <c r="H194" s="41" t="s">
        <v>837</v>
      </c>
      <c r="I194" s="162" t="str">
        <f t="shared" si="25"/>
        <v>WB</v>
      </c>
    </row>
    <row r="195" spans="2:9" ht="12.75">
      <c r="B195" s="40"/>
      <c r="C195" s="19">
        <f t="shared" si="24"/>
      </c>
      <c r="G195" s="18">
        <v>5</v>
      </c>
      <c r="H195" s="41" t="s">
        <v>838</v>
      </c>
      <c r="I195" s="162" t="str">
        <f t="shared" si="25"/>
        <v>RDG</v>
      </c>
    </row>
    <row r="196" spans="1:9" ht="12.75">
      <c r="A196" s="19" t="s">
        <v>1182</v>
      </c>
      <c r="G196" s="18">
        <v>7</v>
      </c>
      <c r="H196" s="41" t="s">
        <v>839</v>
      </c>
      <c r="I196" s="162" t="str">
        <f t="shared" si="25"/>
        <v>SL</v>
      </c>
    </row>
    <row r="197" spans="1:9" ht="12.75">
      <c r="A197" s="19" t="s">
        <v>91</v>
      </c>
      <c r="B197" s="40"/>
      <c r="G197" s="18">
        <v>8</v>
      </c>
      <c r="H197" s="41" t="s">
        <v>840</v>
      </c>
      <c r="I197" s="162" t="str">
        <f t="shared" si="25"/>
        <v>SL</v>
      </c>
    </row>
    <row r="198" spans="1:9" ht="12.75">
      <c r="A198" s="19">
        <v>1</v>
      </c>
      <c r="B198" s="293" t="s">
        <v>1183</v>
      </c>
      <c r="C198" s="19" t="str">
        <f aca="true" t="shared" si="26" ref="C198:C203">IF(OR($A198=0,$A198=""),"",VLOOKUP($A198,codes,2,FALSE))</f>
        <v>BRK</v>
      </c>
      <c r="G198" s="18">
        <v>9</v>
      </c>
      <c r="H198" s="41" t="s">
        <v>841</v>
      </c>
      <c r="I198" s="162" t="str">
        <f t="shared" si="25"/>
        <v>W&amp;M</v>
      </c>
    </row>
    <row r="199" spans="1:9" ht="12.75">
      <c r="A199" s="19">
        <v>4</v>
      </c>
      <c r="B199" s="293" t="s">
        <v>1184</v>
      </c>
      <c r="C199" s="19" t="str">
        <f t="shared" si="26"/>
        <v>WB</v>
      </c>
      <c r="G199" s="18">
        <v>10</v>
      </c>
      <c r="H199" s="41" t="s">
        <v>842</v>
      </c>
      <c r="I199" s="162" t="str">
        <f t="shared" si="25"/>
        <v>W&amp;M</v>
      </c>
    </row>
    <row r="200" spans="1:9" ht="12.75">
      <c r="A200" s="19">
        <v>5</v>
      </c>
      <c r="B200" s="293" t="s">
        <v>1185</v>
      </c>
      <c r="C200" s="19" t="str">
        <f t="shared" si="26"/>
        <v>RDG</v>
      </c>
      <c r="G200" s="18">
        <v>11</v>
      </c>
      <c r="H200" s="41" t="s">
        <v>843</v>
      </c>
      <c r="I200" s="162" t="str">
        <f t="shared" si="25"/>
        <v>WOK</v>
      </c>
    </row>
    <row r="201" spans="1:9" ht="12.75">
      <c r="A201" s="19">
        <v>10</v>
      </c>
      <c r="B201" s="293" t="s">
        <v>1186</v>
      </c>
      <c r="C201" s="19" t="str">
        <f t="shared" si="26"/>
        <v>W&amp;M</v>
      </c>
      <c r="G201" s="18">
        <v>12</v>
      </c>
      <c r="H201" s="41" t="s">
        <v>844</v>
      </c>
      <c r="I201" s="162" t="str">
        <f t="shared" si="25"/>
        <v>WOK</v>
      </c>
    </row>
    <row r="202" spans="1:9" ht="12.75">
      <c r="A202" s="19">
        <v>12</v>
      </c>
      <c r="B202" s="293" t="s">
        <v>1187</v>
      </c>
      <c r="C202" s="19" t="str">
        <f t="shared" si="26"/>
        <v>WOK</v>
      </c>
      <c r="H202" s="41"/>
      <c r="I202" s="162">
        <f t="shared" si="25"/>
      </c>
    </row>
    <row r="203" spans="3:9" ht="12.75">
      <c r="C203" s="19">
        <f t="shared" si="26"/>
      </c>
      <c r="H203" s="41"/>
      <c r="I203" s="162">
        <f t="shared" si="25"/>
      </c>
    </row>
    <row r="204" spans="1:9" ht="12.75">
      <c r="A204" s="19" t="s">
        <v>93</v>
      </c>
      <c r="I204" s="162">
        <f t="shared" si="25"/>
      </c>
    </row>
    <row r="205" spans="1:9" ht="12.75">
      <c r="A205" s="19">
        <v>2</v>
      </c>
      <c r="B205" s="293" t="s">
        <v>1188</v>
      </c>
      <c r="C205" s="19" t="str">
        <f aca="true" t="shared" si="27" ref="C205:C212">IF(OR($A205=0,$A205=""),"",VLOOKUP($A205,codes,2,FALSE))</f>
        <v>BRK</v>
      </c>
      <c r="H205" s="41"/>
      <c r="I205" s="162">
        <f t="shared" si="25"/>
      </c>
    </row>
    <row r="206" spans="1:9" ht="12.75">
      <c r="A206" s="19">
        <v>3</v>
      </c>
      <c r="B206" s="19" t="s">
        <v>982</v>
      </c>
      <c r="C206" s="19" t="str">
        <f t="shared" si="27"/>
        <v>WB</v>
      </c>
      <c r="I206" s="162">
        <f t="shared" si="25"/>
      </c>
    </row>
    <row r="207" spans="1:9" ht="12.75">
      <c r="A207" s="19">
        <v>9</v>
      </c>
      <c r="B207" s="293" t="s">
        <v>1189</v>
      </c>
      <c r="C207" s="19" t="str">
        <f t="shared" si="27"/>
        <v>W&amp;M</v>
      </c>
      <c r="I207" s="162">
        <f t="shared" si="25"/>
      </c>
    </row>
    <row r="208" spans="1:9" ht="12.75">
      <c r="A208" s="19">
        <v>11</v>
      </c>
      <c r="B208" s="293" t="s">
        <v>1190</v>
      </c>
      <c r="C208" s="19" t="str">
        <f t="shared" si="27"/>
        <v>WOK</v>
      </c>
      <c r="I208" s="162">
        <f t="shared" si="25"/>
      </c>
    </row>
    <row r="209" spans="1:9" ht="12.75">
      <c r="A209" s="19">
        <v>6</v>
      </c>
      <c r="B209" s="40" t="s">
        <v>1191</v>
      </c>
      <c r="C209" s="19" t="str">
        <f t="shared" si="27"/>
        <v>RDG</v>
      </c>
      <c r="I209" s="162">
        <f t="shared" si="25"/>
      </c>
    </row>
    <row r="210" spans="1:9" ht="12.75">
      <c r="A210" s="40" t="s">
        <v>1192</v>
      </c>
      <c r="I210" s="162">
        <f t="shared" si="25"/>
      </c>
    </row>
    <row r="211" spans="1:9" ht="12.75">
      <c r="A211" s="19">
        <v>11</v>
      </c>
      <c r="B211" s="40" t="s">
        <v>930</v>
      </c>
      <c r="C211" s="19" t="str">
        <f t="shared" si="27"/>
        <v>WOK</v>
      </c>
      <c r="I211" s="162">
        <f t="shared" si="25"/>
      </c>
    </row>
    <row r="212" spans="1:9" ht="12.75">
      <c r="A212" s="19">
        <v>9</v>
      </c>
      <c r="B212" s="19" t="s">
        <v>1193</v>
      </c>
      <c r="C212" s="19" t="str">
        <f t="shared" si="27"/>
        <v>W&amp;M</v>
      </c>
      <c r="I212" s="162">
        <f t="shared" si="25"/>
      </c>
    </row>
    <row r="213" ht="12.75">
      <c r="I213" s="162">
        <f t="shared" si="25"/>
      </c>
    </row>
    <row r="214" spans="1:9" ht="12.75">
      <c r="A214" s="40" t="s">
        <v>1194</v>
      </c>
      <c r="I214" s="162">
        <f t="shared" si="25"/>
      </c>
    </row>
    <row r="215" spans="1:9" ht="12.75">
      <c r="A215" s="40"/>
      <c r="B215" s="40"/>
      <c r="G215" s="41" t="s">
        <v>845</v>
      </c>
      <c r="I215" s="162"/>
    </row>
    <row r="216" spans="1:9" ht="12.75">
      <c r="A216" s="19">
        <v>8</v>
      </c>
      <c r="B216" s="293" t="s">
        <v>1195</v>
      </c>
      <c r="C216" s="19" t="str">
        <f aca="true" t="shared" si="28" ref="C216:C221">IF(OR($A216=0,$A216=""),"",VLOOKUP($A216,codes,2,FALSE))</f>
        <v>SL</v>
      </c>
      <c r="G216" s="18">
        <v>1</v>
      </c>
      <c r="H216" s="41" t="s">
        <v>847</v>
      </c>
      <c r="I216" s="162" t="str">
        <f aca="true" t="shared" si="29" ref="I216:I235">IF(OR($G216=0,$G216=""),"",VLOOKUP($G216,codes,2,FALSE))</f>
        <v>BRK</v>
      </c>
    </row>
    <row r="217" spans="1:9" ht="12.75">
      <c r="A217" s="19">
        <v>3</v>
      </c>
      <c r="B217" s="293" t="s">
        <v>1196</v>
      </c>
      <c r="C217" s="19" t="str">
        <f t="shared" si="28"/>
        <v>WB</v>
      </c>
      <c r="G217" s="18">
        <v>2</v>
      </c>
      <c r="H217" s="41" t="s">
        <v>848</v>
      </c>
      <c r="I217" s="162" t="str">
        <f t="shared" si="29"/>
        <v>BRK</v>
      </c>
    </row>
    <row r="218" spans="1:9" ht="12.75">
      <c r="A218" s="19">
        <v>11</v>
      </c>
      <c r="B218" s="293" t="s">
        <v>1197</v>
      </c>
      <c r="C218" s="19" t="str">
        <f t="shared" si="28"/>
        <v>WOK</v>
      </c>
      <c r="G218" s="18">
        <v>3</v>
      </c>
      <c r="H218" s="41" t="s">
        <v>849</v>
      </c>
      <c r="I218" s="162" t="str">
        <f t="shared" si="29"/>
        <v>WB</v>
      </c>
    </row>
    <row r="219" spans="1:9" ht="12.75">
      <c r="A219" s="19">
        <v>7</v>
      </c>
      <c r="B219" s="293" t="s">
        <v>1198</v>
      </c>
      <c r="C219" s="19" t="str">
        <f t="shared" si="28"/>
        <v>SL</v>
      </c>
      <c r="G219" s="18">
        <v>4</v>
      </c>
      <c r="H219" s="41" t="s">
        <v>850</v>
      </c>
      <c r="I219" s="162" t="str">
        <f t="shared" si="29"/>
        <v>WB</v>
      </c>
    </row>
    <row r="220" spans="1:9" ht="12.75">
      <c r="A220" s="19">
        <v>4</v>
      </c>
      <c r="B220" s="293" t="s">
        <v>1199</v>
      </c>
      <c r="C220" s="19" t="str">
        <f t="shared" si="28"/>
        <v>WB</v>
      </c>
      <c r="G220" s="18">
        <v>5</v>
      </c>
      <c r="H220" s="41" t="s">
        <v>851</v>
      </c>
      <c r="I220" s="162" t="str">
        <f t="shared" si="29"/>
        <v>RDG</v>
      </c>
    </row>
    <row r="221" spans="1:9" ht="12.75">
      <c r="A221" s="19">
        <v>12</v>
      </c>
      <c r="B221" s="40" t="s">
        <v>1200</v>
      </c>
      <c r="C221" s="19" t="str">
        <f t="shared" si="28"/>
        <v>WOK</v>
      </c>
      <c r="G221" s="18">
        <v>7</v>
      </c>
      <c r="H221" s="41" t="s">
        <v>852</v>
      </c>
      <c r="I221" s="162" t="str">
        <f t="shared" si="29"/>
        <v>SL</v>
      </c>
    </row>
    <row r="222" spans="1:9" ht="12.75">
      <c r="A222" s="40"/>
      <c r="G222" s="18">
        <v>9</v>
      </c>
      <c r="H222" s="41" t="s">
        <v>853</v>
      </c>
      <c r="I222" s="162" t="str">
        <f t="shared" si="29"/>
        <v>W&amp;M</v>
      </c>
    </row>
    <row r="223" spans="2:9" ht="12.75">
      <c r="B223" s="293"/>
      <c r="C223" s="19">
        <f>IF(OR($A223=0,$A223=""),"",VLOOKUP($A223,codes,2,FALSE))</f>
      </c>
      <c r="G223" s="18">
        <v>10</v>
      </c>
      <c r="H223" s="41" t="s">
        <v>854</v>
      </c>
      <c r="I223" s="162" t="str">
        <f t="shared" si="29"/>
        <v>W&amp;M</v>
      </c>
    </row>
    <row r="224" spans="2:9" ht="12.75">
      <c r="B224" s="293"/>
      <c r="C224" s="19">
        <f>IF(OR($A224=0,$A224=""),"",VLOOKUP($A224,codes,2,FALSE))</f>
      </c>
      <c r="G224" s="307" t="s">
        <v>846</v>
      </c>
      <c r="H224" s="41" t="s">
        <v>855</v>
      </c>
      <c r="I224" s="162" t="s">
        <v>16</v>
      </c>
    </row>
    <row r="225" spans="2:9" ht="12.75">
      <c r="B225" s="293"/>
      <c r="C225" s="19">
        <f>IF(OR($A225=0,$A225=""),"",VLOOKUP($A225,codes,2,FALSE))</f>
      </c>
      <c r="I225" s="162">
        <f t="shared" si="29"/>
      </c>
    </row>
    <row r="226" spans="2:9" ht="12.75">
      <c r="B226" s="293"/>
      <c r="C226" s="19">
        <f>IF(OR($A226=0,$A226=""),"",VLOOKUP($A226,codes,2,FALSE))</f>
      </c>
      <c r="I226" s="162">
        <f t="shared" si="29"/>
      </c>
    </row>
    <row r="227" spans="2:9" ht="12.75">
      <c r="B227" s="293"/>
      <c r="C227" s="19">
        <f aca="true" t="shared" si="30" ref="C227:C239">IF(OR($A227=0,$A227=""),"",VLOOKUP($A227,codes,2,FALSE))</f>
      </c>
      <c r="I227" s="162">
        <f t="shared" si="29"/>
      </c>
    </row>
    <row r="228" spans="2:9" ht="12.75">
      <c r="B228" s="40"/>
      <c r="C228" s="19">
        <f t="shared" si="30"/>
      </c>
      <c r="I228" s="162">
        <f t="shared" si="29"/>
      </c>
    </row>
    <row r="229" spans="1:9" ht="12.75">
      <c r="A229" s="40" t="s">
        <v>1201</v>
      </c>
      <c r="I229" s="162">
        <f t="shared" si="29"/>
      </c>
    </row>
    <row r="230" spans="2:9" ht="12.75">
      <c r="B230" s="293"/>
      <c r="C230" s="19">
        <f t="shared" si="30"/>
      </c>
      <c r="I230" s="162">
        <f t="shared" si="29"/>
      </c>
    </row>
    <row r="231" spans="2:9" ht="12.75">
      <c r="B231" s="293"/>
      <c r="C231" s="19">
        <f t="shared" si="30"/>
      </c>
      <c r="I231" s="162">
        <f t="shared" si="29"/>
      </c>
    </row>
    <row r="232" spans="2:9" ht="12.75">
      <c r="B232" s="293"/>
      <c r="C232" s="19">
        <f t="shared" si="30"/>
      </c>
      <c r="I232" s="162">
        <f t="shared" si="29"/>
      </c>
    </row>
    <row r="233" spans="2:9" ht="12.75">
      <c r="B233" s="293"/>
      <c r="C233" s="19">
        <f t="shared" si="30"/>
      </c>
      <c r="I233" s="162">
        <f t="shared" si="29"/>
      </c>
    </row>
    <row r="234" spans="3:9" ht="12.75">
      <c r="C234" s="19">
        <f t="shared" si="30"/>
      </c>
      <c r="I234" s="162">
        <f t="shared" si="29"/>
      </c>
    </row>
    <row r="235" spans="1:9" ht="12.75">
      <c r="A235" s="19" t="s">
        <v>1202</v>
      </c>
      <c r="I235" s="162">
        <f t="shared" si="29"/>
      </c>
    </row>
    <row r="236" spans="1:9" ht="12.75">
      <c r="A236" s="40" t="s">
        <v>91</v>
      </c>
      <c r="G236" s="41" t="s">
        <v>856</v>
      </c>
      <c r="I236" s="162"/>
    </row>
    <row r="237" spans="1:9" ht="12.75">
      <c r="A237" s="19">
        <v>1</v>
      </c>
      <c r="B237" s="293" t="s">
        <v>1203</v>
      </c>
      <c r="C237" s="19" t="str">
        <f t="shared" si="30"/>
        <v>BRK</v>
      </c>
      <c r="H237" s="41"/>
      <c r="I237" s="162">
        <f>IF(OR($G237=0,$G237=""),"",VLOOKUP($G237,codes,2,FALSE))</f>
      </c>
    </row>
    <row r="238" spans="1:9" ht="12.75">
      <c r="A238" s="19">
        <v>3</v>
      </c>
      <c r="B238" s="293" t="s">
        <v>1204</v>
      </c>
      <c r="C238" s="19" t="str">
        <f t="shared" si="30"/>
        <v>WB</v>
      </c>
      <c r="H238" s="41"/>
      <c r="I238" s="162">
        <f>IF(OR($G238=0,$G238=""),"",VLOOKUP($G238,codes,2,FALSE))</f>
      </c>
    </row>
    <row r="239" spans="1:9" ht="12.75">
      <c r="A239" s="19">
        <v>9</v>
      </c>
      <c r="B239" s="293" t="s">
        <v>1205</v>
      </c>
      <c r="C239" s="19" t="str">
        <f t="shared" si="30"/>
        <v>W&amp;M</v>
      </c>
      <c r="H239" s="41"/>
      <c r="I239" s="162">
        <f>IF(OR($G239=0,$G239=""),"",VLOOKUP($G239,codes,2,FALSE))</f>
      </c>
    </row>
    <row r="240" spans="1:9" ht="12.75">
      <c r="A240" s="19">
        <v>11</v>
      </c>
      <c r="B240" s="293" t="s">
        <v>1206</v>
      </c>
      <c r="C240" s="19" t="str">
        <f aca="true" t="shared" si="31" ref="C240:C247">IF(OR($A240=0,$A240=""),"",VLOOKUP($A240,codes,2,FALSE))</f>
        <v>WOK</v>
      </c>
      <c r="E240" s="42"/>
      <c r="I240" s="162">
        <f>IF(OR($G240=0,$G240=""),"",VLOOKUP($G240,codes,2,FALSE))</f>
      </c>
    </row>
    <row r="241" spans="1:9" ht="12.75">
      <c r="A241" s="19">
        <v>6</v>
      </c>
      <c r="B241" s="293" t="s">
        <v>1207</v>
      </c>
      <c r="C241" s="40" t="s">
        <v>18</v>
      </c>
      <c r="E241" s="42"/>
      <c r="I241" s="162"/>
    </row>
    <row r="242" spans="1:9" ht="12.75">
      <c r="A242" s="40" t="s">
        <v>93</v>
      </c>
      <c r="B242" s="40"/>
      <c r="I242" s="162">
        <f>IF(OR($G242=0,$G242=""),"",VLOOKUP($G242,codes,2,FALSE))</f>
      </c>
    </row>
    <row r="243" spans="1:9" ht="12.75">
      <c r="A243" s="19">
        <v>2</v>
      </c>
      <c r="B243" s="293" t="s">
        <v>1208</v>
      </c>
      <c r="C243" s="19" t="str">
        <f t="shared" si="31"/>
        <v>BRK</v>
      </c>
      <c r="G243" s="41" t="s">
        <v>857</v>
      </c>
      <c r="I243" s="162"/>
    </row>
    <row r="244" spans="1:9" ht="12.75">
      <c r="A244" s="19">
        <v>4</v>
      </c>
      <c r="B244" s="293" t="s">
        <v>1209</v>
      </c>
      <c r="C244" s="19" t="str">
        <f t="shared" si="31"/>
        <v>WB</v>
      </c>
      <c r="G244" s="18">
        <v>1</v>
      </c>
      <c r="H244" s="41" t="s">
        <v>858</v>
      </c>
      <c r="I244" s="162" t="str">
        <f aca="true" t="shared" si="32" ref="I244:I268">IF(OR($G244=0,$G244=""),"",VLOOKUP($G244,codes,2,FALSE))</f>
        <v>BRK</v>
      </c>
    </row>
    <row r="245" spans="1:9" ht="12.75">
      <c r="A245" s="19">
        <v>5</v>
      </c>
      <c r="B245" s="293" t="s">
        <v>1210</v>
      </c>
      <c r="C245" s="19" t="str">
        <f t="shared" si="31"/>
        <v>RDG</v>
      </c>
      <c r="G245" s="18">
        <v>2</v>
      </c>
      <c r="H245" s="41" t="s">
        <v>859</v>
      </c>
      <c r="I245" s="162" t="str">
        <f t="shared" si="32"/>
        <v>BRK</v>
      </c>
    </row>
    <row r="246" spans="1:9" ht="12.75">
      <c r="A246" s="19">
        <v>10</v>
      </c>
      <c r="B246" s="293" t="s">
        <v>1211</v>
      </c>
      <c r="C246" s="19" t="str">
        <f t="shared" si="31"/>
        <v>W&amp;M</v>
      </c>
      <c r="G246" s="18">
        <v>3</v>
      </c>
      <c r="H246" s="41" t="s">
        <v>860</v>
      </c>
      <c r="I246" s="162" t="str">
        <f t="shared" si="32"/>
        <v>WB</v>
      </c>
    </row>
    <row r="247" spans="1:9" ht="12.75">
      <c r="A247" s="19">
        <v>12</v>
      </c>
      <c r="B247" s="293" t="s">
        <v>1212</v>
      </c>
      <c r="C247" s="19" t="str">
        <f t="shared" si="31"/>
        <v>WOK</v>
      </c>
      <c r="G247" s="18">
        <v>4</v>
      </c>
      <c r="H247" s="41" t="s">
        <v>861</v>
      </c>
      <c r="I247" s="162" t="str">
        <f t="shared" si="32"/>
        <v>WB</v>
      </c>
    </row>
    <row r="248" spans="1:9" ht="12.75">
      <c r="A248" s="40"/>
      <c r="B248" s="40"/>
      <c r="G248" s="18">
        <v>9</v>
      </c>
      <c r="H248" s="41" t="s">
        <v>862</v>
      </c>
      <c r="I248" s="162" t="str">
        <f t="shared" si="32"/>
        <v>W&amp;M</v>
      </c>
    </row>
    <row r="249" spans="1:9" ht="12.75">
      <c r="A249" s="19" t="s">
        <v>1213</v>
      </c>
      <c r="B249" s="19" t="s">
        <v>1214</v>
      </c>
      <c r="G249" s="18">
        <v>10</v>
      </c>
      <c r="H249" s="41" t="s">
        <v>863</v>
      </c>
      <c r="I249" s="162" t="str">
        <f t="shared" si="32"/>
        <v>W&amp;M</v>
      </c>
    </row>
    <row r="250" spans="1:9" ht="12.75">
      <c r="A250" s="40" t="s">
        <v>91</v>
      </c>
      <c r="B250" s="40"/>
      <c r="G250" s="18">
        <v>11</v>
      </c>
      <c r="H250" s="41" t="s">
        <v>864</v>
      </c>
      <c r="I250" s="162" t="str">
        <f t="shared" si="32"/>
        <v>WOK</v>
      </c>
    </row>
    <row r="251" spans="1:9" ht="12.75">
      <c r="A251" s="19">
        <v>1</v>
      </c>
      <c r="B251" s="293" t="s">
        <v>1215</v>
      </c>
      <c r="C251" s="19" t="str">
        <f aca="true" t="shared" si="33" ref="C251:C262">IF(OR($A251=0,$A251=""),"",VLOOKUP($A251,codes,2,FALSE))</f>
        <v>BRK</v>
      </c>
      <c r="G251" s="18">
        <v>12</v>
      </c>
      <c r="H251" s="41" t="s">
        <v>865</v>
      </c>
      <c r="I251" s="162" t="str">
        <f t="shared" si="32"/>
        <v>WOK</v>
      </c>
    </row>
    <row r="252" spans="1:9" ht="12.75">
      <c r="A252" s="19">
        <v>4</v>
      </c>
      <c r="B252" s="293" t="s">
        <v>1216</v>
      </c>
      <c r="C252" s="19" t="str">
        <f t="shared" si="33"/>
        <v>WB</v>
      </c>
      <c r="H252" s="41"/>
      <c r="I252" s="162">
        <f t="shared" si="32"/>
      </c>
    </row>
    <row r="253" spans="1:9" ht="12.75">
      <c r="A253" s="19">
        <v>5</v>
      </c>
      <c r="B253" s="293" t="s">
        <v>1217</v>
      </c>
      <c r="C253" s="19" t="str">
        <f t="shared" si="33"/>
        <v>RDG</v>
      </c>
      <c r="H253" s="41"/>
      <c r="I253" s="162">
        <f t="shared" si="32"/>
      </c>
    </row>
    <row r="254" spans="1:9" ht="12.75">
      <c r="A254" s="40">
        <v>9</v>
      </c>
      <c r="B254" s="293" t="s">
        <v>1218</v>
      </c>
      <c r="C254" s="19" t="str">
        <f t="shared" si="33"/>
        <v>W&amp;M</v>
      </c>
      <c r="G254" s="41"/>
      <c r="H254" s="41"/>
      <c r="I254" s="162">
        <f t="shared" si="32"/>
      </c>
    </row>
    <row r="255" spans="1:9" ht="12.75">
      <c r="A255" s="19">
        <v>12</v>
      </c>
      <c r="B255" s="293" t="s">
        <v>1219</v>
      </c>
      <c r="C255" s="19" t="str">
        <f t="shared" si="33"/>
        <v>WOK</v>
      </c>
      <c r="G255" s="41"/>
      <c r="H255" s="41"/>
      <c r="I255" s="166"/>
    </row>
    <row r="256" spans="1:9" ht="12.75">
      <c r="A256" s="19">
        <v>8</v>
      </c>
      <c r="B256" s="293" t="s">
        <v>1220</v>
      </c>
      <c r="C256" s="19" t="str">
        <f t="shared" si="33"/>
        <v>SL</v>
      </c>
      <c r="I256" s="162">
        <f t="shared" si="32"/>
      </c>
    </row>
    <row r="257" spans="2:9" ht="12.75">
      <c r="B257" s="40"/>
      <c r="C257" s="19">
        <f t="shared" si="33"/>
      </c>
      <c r="I257" s="162">
        <f t="shared" si="32"/>
      </c>
    </row>
    <row r="258" spans="1:9" ht="12.75">
      <c r="A258" s="40" t="s">
        <v>93</v>
      </c>
      <c r="B258" s="40"/>
      <c r="I258" s="162">
        <f t="shared" si="32"/>
      </c>
    </row>
    <row r="259" spans="1:9" ht="12.75">
      <c r="A259" s="19">
        <v>2</v>
      </c>
      <c r="B259" s="293" t="s">
        <v>1221</v>
      </c>
      <c r="C259" s="19" t="str">
        <f t="shared" si="33"/>
        <v>BRK</v>
      </c>
      <c r="I259" s="162">
        <f t="shared" si="32"/>
      </c>
    </row>
    <row r="260" spans="1:9" ht="12.75">
      <c r="A260" s="19">
        <v>3</v>
      </c>
      <c r="B260" s="293" t="s">
        <v>1222</v>
      </c>
      <c r="C260" s="19" t="str">
        <f t="shared" si="33"/>
        <v>WB</v>
      </c>
      <c r="I260" s="162">
        <f t="shared" si="32"/>
      </c>
    </row>
    <row r="261" spans="1:9" ht="12.75">
      <c r="A261" s="19">
        <v>10</v>
      </c>
      <c r="B261" s="293" t="s">
        <v>1223</v>
      </c>
      <c r="C261" s="19" t="str">
        <f t="shared" si="33"/>
        <v>W&amp;M</v>
      </c>
      <c r="I261" s="162">
        <f t="shared" si="32"/>
      </c>
    </row>
    <row r="262" spans="1:9" ht="12.75">
      <c r="A262" s="19">
        <v>11</v>
      </c>
      <c r="B262" s="309" t="s">
        <v>1224</v>
      </c>
      <c r="C262" s="19" t="str">
        <f t="shared" si="33"/>
        <v>WOK</v>
      </c>
      <c r="I262" s="162">
        <f t="shared" si="32"/>
      </c>
    </row>
    <row r="263" spans="1:9" ht="12.75">
      <c r="A263" s="19">
        <v>7</v>
      </c>
      <c r="B263" s="293" t="s">
        <v>1225</v>
      </c>
      <c r="C263" s="19" t="str">
        <f>IF(OR($A263=0,$A263=""),"",VLOOKUP($A263,codes,2,FALSE))</f>
        <v>SL</v>
      </c>
      <c r="I263" s="162">
        <f t="shared" si="32"/>
      </c>
    </row>
    <row r="264" spans="1:9" ht="12.75">
      <c r="A264" s="19">
        <v>6</v>
      </c>
      <c r="B264" s="293" t="s">
        <v>1226</v>
      </c>
      <c r="C264" s="19" t="str">
        <f>IF(OR($A264=0,$A264=""),"",VLOOKUP($A264,codes,2,FALSE))</f>
        <v>RDG</v>
      </c>
      <c r="I264" s="162">
        <f t="shared" si="32"/>
      </c>
    </row>
    <row r="265" spans="2:9" ht="12.75">
      <c r="B265" s="293"/>
      <c r="C265" s="19">
        <f>IF(OR($A265=0,$A265=""),"",VLOOKUP($A265,codes,2,FALSE))</f>
      </c>
      <c r="I265" s="162">
        <f t="shared" si="32"/>
      </c>
    </row>
    <row r="266" spans="2:9" ht="12.75">
      <c r="B266" s="295"/>
      <c r="C266" s="19">
        <f>IF(OR($A266=0,$A266=""),"",VLOOKUP($A266,codes,2,FALSE))</f>
      </c>
      <c r="I266" s="162">
        <f t="shared" si="32"/>
      </c>
    </row>
    <row r="267" spans="2:9" ht="12.75">
      <c r="B267" s="40"/>
      <c r="C267" s="19">
        <f>IF(OR($A267=0,$A267=""),"",VLOOKUP($A267,codes,2,FALSE))</f>
      </c>
      <c r="I267" s="162">
        <f t="shared" si="32"/>
      </c>
    </row>
    <row r="268" spans="1:9" ht="12.75">
      <c r="A268" s="19" t="s">
        <v>1227</v>
      </c>
      <c r="I268" s="162">
        <f t="shared" si="32"/>
      </c>
    </row>
    <row r="269" spans="1:9" ht="12.75">
      <c r="A269" s="40" t="s">
        <v>91</v>
      </c>
      <c r="G269" s="41" t="s">
        <v>866</v>
      </c>
      <c r="I269" s="162"/>
    </row>
    <row r="270" spans="1:9" ht="12.75">
      <c r="A270" s="19">
        <v>1</v>
      </c>
      <c r="B270" s="293" t="s">
        <v>1228</v>
      </c>
      <c r="C270" s="19" t="str">
        <f aca="true" t="shared" si="34" ref="C270:C276">IF(OR($A270=0,$A270=""),"",VLOOKUP($A270,codes,2,FALSE))</f>
        <v>BRK</v>
      </c>
      <c r="G270" s="18">
        <v>9</v>
      </c>
      <c r="H270" s="41" t="s">
        <v>867</v>
      </c>
      <c r="I270" s="162" t="str">
        <f aca="true" t="shared" si="35" ref="I270:I278">IF(OR($G270=0,$G270=""),"",VLOOKUP($G270,codes,2,FALSE))</f>
        <v>W&amp;M</v>
      </c>
    </row>
    <row r="271" spans="1:9" ht="12.75">
      <c r="A271" s="19">
        <v>4</v>
      </c>
      <c r="B271" s="293" t="s">
        <v>1229</v>
      </c>
      <c r="C271" s="19" t="str">
        <f t="shared" si="34"/>
        <v>WB</v>
      </c>
      <c r="G271" s="18">
        <v>11</v>
      </c>
      <c r="H271" s="41" t="s">
        <v>868</v>
      </c>
      <c r="I271" s="162" t="str">
        <f t="shared" si="35"/>
        <v>WOK</v>
      </c>
    </row>
    <row r="272" spans="1:9" ht="12.75">
      <c r="A272" s="19">
        <v>5</v>
      </c>
      <c r="B272" s="293" t="s">
        <v>1230</v>
      </c>
      <c r="C272" s="19" t="str">
        <f t="shared" si="34"/>
        <v>RDG</v>
      </c>
      <c r="H272" s="41"/>
      <c r="I272" s="162">
        <f t="shared" si="35"/>
      </c>
    </row>
    <row r="273" spans="1:9" ht="12.75">
      <c r="A273" s="19">
        <v>8</v>
      </c>
      <c r="B273" s="293" t="s">
        <v>1231</v>
      </c>
      <c r="C273" s="19" t="str">
        <f t="shared" si="34"/>
        <v>SL</v>
      </c>
      <c r="I273" s="162">
        <f t="shared" si="35"/>
      </c>
    </row>
    <row r="274" spans="1:9" ht="12.75">
      <c r="A274" s="19">
        <v>9</v>
      </c>
      <c r="B274" s="293" t="s">
        <v>1232</v>
      </c>
      <c r="C274" s="19" t="str">
        <f t="shared" si="34"/>
        <v>W&amp;M</v>
      </c>
      <c r="I274" s="162">
        <f t="shared" si="35"/>
      </c>
    </row>
    <row r="275" spans="1:9" ht="12.75">
      <c r="A275" s="19">
        <v>12</v>
      </c>
      <c r="B275" s="293" t="s">
        <v>1233</v>
      </c>
      <c r="C275" s="19" t="str">
        <f t="shared" si="34"/>
        <v>WOK</v>
      </c>
      <c r="I275" s="162">
        <f t="shared" si="35"/>
      </c>
    </row>
    <row r="276" spans="2:9" ht="12.75">
      <c r="B276" s="40"/>
      <c r="C276" s="19">
        <f t="shared" si="34"/>
      </c>
      <c r="I276" s="162">
        <f t="shared" si="35"/>
      </c>
    </row>
    <row r="277" spans="1:9" ht="12.75">
      <c r="A277" s="40" t="s">
        <v>93</v>
      </c>
      <c r="I277" s="162">
        <f t="shared" si="35"/>
      </c>
    </row>
    <row r="278" spans="1:9" ht="12.75">
      <c r="A278" s="19">
        <v>2</v>
      </c>
      <c r="B278" s="293" t="s">
        <v>1234</v>
      </c>
      <c r="C278" s="19" t="str">
        <f>IF(OR($A278=0,$A278=""),"",VLOOKUP($A278,codes,2,FALSE))</f>
        <v>BRK</v>
      </c>
      <c r="I278" s="162">
        <f t="shared" si="35"/>
      </c>
    </row>
    <row r="279" spans="1:9" ht="12.75">
      <c r="A279" s="19">
        <v>3</v>
      </c>
      <c r="B279" s="293" t="s">
        <v>1235</v>
      </c>
      <c r="C279" s="19" t="str">
        <f>IF(OR($A279=0,$A279=""),"",VLOOKUP($A279,codes,2,FALSE))</f>
        <v>WB</v>
      </c>
      <c r="G279" s="41" t="s">
        <v>869</v>
      </c>
      <c r="I279" s="162"/>
    </row>
    <row r="280" spans="1:9" ht="12.75">
      <c r="A280" s="19">
        <v>7</v>
      </c>
      <c r="B280" s="293" t="s">
        <v>1236</v>
      </c>
      <c r="C280" s="19" t="str">
        <f>IF(OR($A280=0,$A280=""),"",VLOOKUP($A280,codes,2,FALSE))</f>
        <v>SL</v>
      </c>
      <c r="G280" s="18">
        <v>8</v>
      </c>
      <c r="H280" s="41" t="s">
        <v>871</v>
      </c>
      <c r="I280" s="162" t="str">
        <f>IF(OR($G280=0,$G280=""),"",VLOOKUP($G280,codes,2,FALSE))</f>
        <v>SL</v>
      </c>
    </row>
    <row r="281" spans="1:9" ht="12.75">
      <c r="A281" s="19">
        <v>11</v>
      </c>
      <c r="B281" s="293" t="s">
        <v>1237</v>
      </c>
      <c r="C281" s="19" t="str">
        <f>IF(OR($A281=0,$A281=""),"",VLOOKUP($A281,codes,2,FALSE))</f>
        <v>WOK</v>
      </c>
      <c r="G281" s="307" t="s">
        <v>743</v>
      </c>
      <c r="H281" s="41" t="s">
        <v>872</v>
      </c>
      <c r="I281" s="162" t="s">
        <v>22</v>
      </c>
    </row>
    <row r="282" spans="1:9" ht="12.75">
      <c r="A282" s="19">
        <v>6</v>
      </c>
      <c r="B282" s="293" t="s">
        <v>1238</v>
      </c>
      <c r="C282" s="19" t="str">
        <f>IF(OR($A282=0,$A282=""),"",VLOOKUP($A282,codes,2,FALSE))</f>
        <v>RDG</v>
      </c>
      <c r="G282" s="18">
        <v>7</v>
      </c>
      <c r="H282" s="41" t="s">
        <v>870</v>
      </c>
      <c r="I282" s="162" t="str">
        <f>IF(OR($G282=0,$G282=""),"",VLOOKUP($G282,codes,2,FALSE))</f>
        <v>SL</v>
      </c>
    </row>
    <row r="283" spans="1:9" ht="12.75">
      <c r="A283" s="308" t="s">
        <v>740</v>
      </c>
      <c r="B283" s="293" t="s">
        <v>1239</v>
      </c>
      <c r="C283" s="19" t="s">
        <v>18</v>
      </c>
      <c r="G283" s="18">
        <v>9</v>
      </c>
      <c r="H283" s="41" t="s">
        <v>873</v>
      </c>
      <c r="I283" s="162" t="str">
        <f>IF(OR($G283=0,$G283=""),"",VLOOKUP($G283,codes,2,FALSE))</f>
        <v>W&amp;M</v>
      </c>
    </row>
    <row r="284" spans="3:9" ht="12.75">
      <c r="C284" s="19">
        <f>IF(OR($A284=0,$A284=""),"",VLOOKUP($A284,codes,2,FALSE))</f>
      </c>
      <c r="G284" s="18">
        <v>11</v>
      </c>
      <c r="H284" s="18" t="s">
        <v>874</v>
      </c>
      <c r="I284" s="162" t="str">
        <f>IF(OR($G284=0,$G284=""),"",VLOOKUP($G284,codes,2,FALSE))</f>
        <v>WOK</v>
      </c>
    </row>
    <row r="285" spans="7:9" ht="12.75">
      <c r="G285" s="18">
        <v>12</v>
      </c>
      <c r="H285" s="18" t="s">
        <v>875</v>
      </c>
      <c r="I285" s="162" t="str">
        <f>IF(OR($G285=0,$G285=""),"",VLOOKUP($G285,codes,2,FALSE))</f>
        <v>WOK</v>
      </c>
    </row>
    <row r="286" ht="12.75">
      <c r="I286" s="162"/>
    </row>
    <row r="287" spans="1:9" ht="12.75">
      <c r="A287" s="40" t="s">
        <v>1242</v>
      </c>
      <c r="B287" s="40" t="s">
        <v>1241</v>
      </c>
      <c r="G287" s="41" t="s">
        <v>876</v>
      </c>
      <c r="I287" s="162"/>
    </row>
    <row r="288" spans="1:9" ht="12.75">
      <c r="A288" s="19">
        <v>11</v>
      </c>
      <c r="B288" s="293" t="s">
        <v>1240</v>
      </c>
      <c r="C288" s="40" t="s">
        <v>19</v>
      </c>
      <c r="I288" s="162">
        <f>IF(OR($G288=0,$G288=""),"",VLOOKUP($G288,codes,2,FALSE))</f>
      </c>
    </row>
    <row r="289" spans="7:9" ht="12.75">
      <c r="G289" s="41"/>
      <c r="H289" s="41"/>
      <c r="I289" s="162">
        <f>IF(OR($G289=0,$G289=""),"",VLOOKUP($G289,codes,2,FALSE))</f>
      </c>
    </row>
    <row r="290" spans="1:9" ht="12.75">
      <c r="A290" s="40" t="s">
        <v>1243</v>
      </c>
      <c r="H290" s="41"/>
      <c r="I290" s="162">
        <f>IF(OR($G290=0,$G290=""),"",VLOOKUP($G290,codes,2,FALSE))</f>
      </c>
    </row>
    <row r="291" spans="1:9" ht="12.75">
      <c r="A291" s="19">
        <v>1</v>
      </c>
      <c r="B291" s="293" t="s">
        <v>1244</v>
      </c>
      <c r="C291" s="19" t="str">
        <f aca="true" t="shared" si="36" ref="C291:C298">IF(OR($A291=0,$A291=""),"",VLOOKUP($A291,codes,2,FALSE))</f>
        <v>BRK</v>
      </c>
      <c r="H291" s="41"/>
      <c r="I291" s="162">
        <f>IF(OR($G291=0,$G291=""),"",VLOOKUP($G291,codes,2,FALSE))</f>
      </c>
    </row>
    <row r="292" spans="1:9" ht="12.75">
      <c r="A292" s="19">
        <v>5</v>
      </c>
      <c r="B292" s="293" t="s">
        <v>1245</v>
      </c>
      <c r="C292" s="19" t="str">
        <f t="shared" si="36"/>
        <v>RDG</v>
      </c>
      <c r="G292" s="18" t="s">
        <v>108</v>
      </c>
      <c r="I292" s="162"/>
    </row>
    <row r="293" spans="1:9" ht="12.75">
      <c r="A293" s="19">
        <v>9</v>
      </c>
      <c r="B293" s="293" t="s">
        <v>1246</v>
      </c>
      <c r="C293" s="19" t="str">
        <f t="shared" si="36"/>
        <v>W&amp;M</v>
      </c>
      <c r="I293" s="162">
        <f>IF(OR($G293=0,$G293=""),"",VLOOKUP($G293,codes,2,FALSE))</f>
      </c>
    </row>
    <row r="294" spans="1:9" ht="12.75">
      <c r="A294" s="19">
        <v>11</v>
      </c>
      <c r="B294" s="293" t="s">
        <v>1247</v>
      </c>
      <c r="C294" s="19" t="str">
        <f t="shared" si="36"/>
        <v>WOK</v>
      </c>
      <c r="G294" s="18" t="s">
        <v>107</v>
      </c>
      <c r="I294" s="162"/>
    </row>
    <row r="295" spans="1:9" ht="12.75">
      <c r="A295" s="19">
        <v>10</v>
      </c>
      <c r="B295" s="293" t="s">
        <v>1419</v>
      </c>
      <c r="C295" s="19" t="str">
        <f t="shared" si="36"/>
        <v>W&amp;M</v>
      </c>
      <c r="G295" s="41" t="s">
        <v>877</v>
      </c>
      <c r="I295" s="162"/>
    </row>
    <row r="296" spans="1:9" ht="12.75">
      <c r="A296" s="19">
        <v>3</v>
      </c>
      <c r="B296" s="293" t="s">
        <v>1248</v>
      </c>
      <c r="C296" s="19" t="str">
        <f t="shared" si="36"/>
        <v>WB</v>
      </c>
      <c r="G296" s="18">
        <v>1</v>
      </c>
      <c r="H296" s="41" t="s">
        <v>878</v>
      </c>
      <c r="I296" s="162" t="str">
        <f aca="true" t="shared" si="37" ref="I296:I319">IF(OR($G296=0,$G296=""),"",VLOOKUP($G296,codes,2,FALSE))</f>
        <v>BRK</v>
      </c>
    </row>
    <row r="297" spans="2:9" ht="12.75">
      <c r="B297" s="293"/>
      <c r="C297" s="19">
        <f t="shared" si="36"/>
      </c>
      <c r="G297" s="18">
        <v>2</v>
      </c>
      <c r="H297" s="41" t="s">
        <v>879</v>
      </c>
      <c r="I297" s="162" t="str">
        <f t="shared" si="37"/>
        <v>BRK</v>
      </c>
    </row>
    <row r="298" spans="2:9" ht="12.75">
      <c r="B298" s="296"/>
      <c r="C298" s="19">
        <f t="shared" si="36"/>
      </c>
      <c r="G298" s="18">
        <v>3</v>
      </c>
      <c r="H298" s="41" t="s">
        <v>880</v>
      </c>
      <c r="I298" s="162" t="str">
        <f t="shared" si="37"/>
        <v>WB</v>
      </c>
    </row>
    <row r="299" spans="7:9" ht="12.75">
      <c r="G299" s="18">
        <v>4</v>
      </c>
      <c r="H299" s="41" t="s">
        <v>881</v>
      </c>
      <c r="I299" s="162" t="str">
        <f t="shared" si="37"/>
        <v>WB</v>
      </c>
    </row>
    <row r="300" spans="1:9" ht="12.75">
      <c r="A300" s="19" t="s">
        <v>1112</v>
      </c>
      <c r="G300" s="18">
        <v>5</v>
      </c>
      <c r="H300" s="41" t="s">
        <v>882</v>
      </c>
      <c r="I300" s="162" t="str">
        <f t="shared" si="37"/>
        <v>RDG</v>
      </c>
    </row>
    <row r="301" spans="1:9" ht="12.75">
      <c r="A301" s="19">
        <v>3</v>
      </c>
      <c r="B301" s="293" t="s">
        <v>1113</v>
      </c>
      <c r="C301" s="19" t="str">
        <f>IF(OR($A301=0,$A301=""),"",VLOOKUP($A301,codes,2,FALSE))</f>
        <v>WB</v>
      </c>
      <c r="G301" s="18">
        <v>6</v>
      </c>
      <c r="H301" s="41" t="s">
        <v>1410</v>
      </c>
      <c r="I301" s="162" t="str">
        <f t="shared" si="37"/>
        <v>RDG</v>
      </c>
    </row>
    <row r="302" spans="1:9" ht="12.75">
      <c r="A302" s="19">
        <v>5</v>
      </c>
      <c r="B302" s="293" t="s">
        <v>1114</v>
      </c>
      <c r="C302" s="19" t="str">
        <f>IF(OR($A302=0,$A302=""),"",VLOOKUP($A302,codes,2,FALSE))</f>
        <v>RDG</v>
      </c>
      <c r="G302" s="18">
        <v>8</v>
      </c>
      <c r="H302" s="41" t="s">
        <v>883</v>
      </c>
      <c r="I302" s="162" t="str">
        <f t="shared" si="37"/>
        <v>SL</v>
      </c>
    </row>
    <row r="303" spans="1:9" ht="12.75">
      <c r="A303" s="19">
        <v>7</v>
      </c>
      <c r="B303" s="293" t="s">
        <v>1115</v>
      </c>
      <c r="C303" s="19" t="str">
        <f>IF(OR($A303=0,$A303=""),"",VLOOKUP($A303,codes,2,FALSE))</f>
        <v>SL</v>
      </c>
      <c r="G303" s="18">
        <v>9</v>
      </c>
      <c r="H303" s="41" t="s">
        <v>884</v>
      </c>
      <c r="I303" s="162" t="str">
        <f t="shared" si="37"/>
        <v>W&amp;M</v>
      </c>
    </row>
    <row r="304" spans="1:9" ht="12.75">
      <c r="A304" s="19">
        <v>6</v>
      </c>
      <c r="B304" s="293" t="s">
        <v>1116</v>
      </c>
      <c r="C304" s="19" t="str">
        <f>IF(OR($A304=0,$A304=""),"",VLOOKUP($A304,codes,2,FALSE))</f>
        <v>RDG</v>
      </c>
      <c r="G304" s="18">
        <v>10</v>
      </c>
      <c r="H304" s="41" t="s">
        <v>885</v>
      </c>
      <c r="I304" s="162" t="str">
        <f t="shared" si="37"/>
        <v>W&amp;M</v>
      </c>
    </row>
    <row r="305" spans="1:9" ht="12.75">
      <c r="A305" s="308" t="s">
        <v>740</v>
      </c>
      <c r="B305" s="293" t="s">
        <v>1117</v>
      </c>
      <c r="C305" s="19" t="s">
        <v>18</v>
      </c>
      <c r="G305" s="18">
        <v>11</v>
      </c>
      <c r="H305" s="41" t="s">
        <v>886</v>
      </c>
      <c r="I305" s="162" t="str">
        <f t="shared" si="37"/>
        <v>WOK</v>
      </c>
    </row>
    <row r="306" spans="3:9" ht="12.75">
      <c r="C306" s="19">
        <f>IF(OR($A306=0,$A306=""),"",VLOOKUP($A306,codes,2,FALSE))</f>
      </c>
      <c r="G306" s="18">
        <v>12</v>
      </c>
      <c r="H306" s="41" t="s">
        <v>887</v>
      </c>
      <c r="I306" s="162" t="str">
        <f t="shared" si="37"/>
        <v>WOK</v>
      </c>
    </row>
    <row r="307" spans="3:9" ht="12.75">
      <c r="C307" s="19">
        <f>IF(OR($A307=0,$A307=""),"",VLOOKUP($A307,codes,2,FALSE))</f>
      </c>
      <c r="I307" s="162">
        <f t="shared" si="37"/>
      </c>
    </row>
    <row r="308" spans="3:9" ht="12.75">
      <c r="C308" s="19">
        <f>IF(OR($A308=0,$A308=""),"",VLOOKUP($A308,codes,2,FALSE))</f>
      </c>
      <c r="I308" s="162">
        <f t="shared" si="37"/>
      </c>
    </row>
    <row r="309" ht="12.75">
      <c r="I309" s="162">
        <f t="shared" si="37"/>
      </c>
    </row>
    <row r="310" spans="2:9" ht="12.75">
      <c r="B310" s="40"/>
      <c r="C310" s="19">
        <f aca="true" t="shared" si="38" ref="C310:C315">IF(OR($A310=0,$A310=""),"",VLOOKUP($A310,codes,2,FALSE))</f>
      </c>
      <c r="I310" s="162">
        <f t="shared" si="37"/>
      </c>
    </row>
    <row r="311" spans="2:9" ht="12.75">
      <c r="B311" s="40"/>
      <c r="C311" s="19">
        <f t="shared" si="38"/>
      </c>
      <c r="I311" s="162">
        <f t="shared" si="37"/>
      </c>
    </row>
    <row r="312" spans="3:9" ht="12.75">
      <c r="C312" s="19">
        <f t="shared" si="38"/>
      </c>
      <c r="I312" s="162">
        <f t="shared" si="37"/>
      </c>
    </row>
    <row r="313" spans="3:9" ht="12.75">
      <c r="C313" s="19">
        <f t="shared" si="38"/>
      </c>
      <c r="I313" s="162">
        <f t="shared" si="37"/>
      </c>
    </row>
    <row r="314" spans="3:9" ht="12.75">
      <c r="C314" s="19">
        <f t="shared" si="38"/>
      </c>
      <c r="I314" s="162">
        <f t="shared" si="37"/>
      </c>
    </row>
    <row r="315" spans="3:9" ht="12.75">
      <c r="C315" s="19">
        <f t="shared" si="38"/>
      </c>
      <c r="I315" s="162">
        <f t="shared" si="37"/>
      </c>
    </row>
    <row r="316" ht="12.75">
      <c r="I316" s="162">
        <f t="shared" si="37"/>
      </c>
    </row>
    <row r="317" ht="12.75">
      <c r="I317" s="162">
        <f t="shared" si="37"/>
      </c>
    </row>
    <row r="318" ht="12.75">
      <c r="I318" s="162">
        <f t="shared" si="37"/>
      </c>
    </row>
    <row r="319" ht="12.75">
      <c r="I319" s="162">
        <f t="shared" si="37"/>
      </c>
    </row>
    <row r="320" spans="7:9" ht="12.75">
      <c r="G320" s="41" t="s">
        <v>888</v>
      </c>
      <c r="I320" s="162"/>
    </row>
    <row r="321" spans="7:9" ht="12.75">
      <c r="G321" s="18">
        <v>1</v>
      </c>
      <c r="H321" s="41" t="s">
        <v>1406</v>
      </c>
      <c r="I321" s="162" t="str">
        <f aca="true" t="shared" si="39" ref="I321:I344">IF(OR($G321=0,$G321=""),"",VLOOKUP($G321,codes,2,FALSE))</f>
        <v>BRK</v>
      </c>
    </row>
    <row r="322" spans="1:9" ht="12.75">
      <c r="A322" s="40"/>
      <c r="B322" s="40"/>
      <c r="C322" s="19">
        <f>IF(OR($A322=0,$A322=""),"",VLOOKUP($A322,codes,2,FALSE))</f>
      </c>
      <c r="G322" s="18">
        <v>2</v>
      </c>
      <c r="H322" s="41" t="s">
        <v>889</v>
      </c>
      <c r="I322" s="162" t="str">
        <f t="shared" si="39"/>
        <v>BRK</v>
      </c>
    </row>
    <row r="323" spans="3:9" ht="12.75">
      <c r="C323" s="19">
        <f>IF(OR($A323=0,$A323=""),"",VLOOKUP($A323,codes,2,FALSE))</f>
      </c>
      <c r="G323" s="18">
        <v>3</v>
      </c>
      <c r="H323" s="41" t="s">
        <v>890</v>
      </c>
      <c r="I323" s="162" t="str">
        <f t="shared" si="39"/>
        <v>WB</v>
      </c>
    </row>
    <row r="324" spans="3:9" ht="12.75">
      <c r="C324" s="19">
        <f>IF(OR($A324=0,$A324=""),"",VLOOKUP($A324,codes,2,FALSE))</f>
      </c>
      <c r="G324" s="18">
        <v>4</v>
      </c>
      <c r="H324" s="41" t="s">
        <v>891</v>
      </c>
      <c r="I324" s="162" t="str">
        <f t="shared" si="39"/>
        <v>WB</v>
      </c>
    </row>
    <row r="325" spans="3:9" ht="12.75">
      <c r="C325" s="19">
        <f>IF(OR($A325=0,$A325=""),"",VLOOKUP($A325,codes,2,FALSE))</f>
      </c>
      <c r="G325" s="18">
        <v>7</v>
      </c>
      <c r="H325" s="41" t="s">
        <v>892</v>
      </c>
      <c r="I325" s="162" t="str">
        <f t="shared" si="39"/>
        <v>SL</v>
      </c>
    </row>
    <row r="326" spans="3:9" ht="12.75">
      <c r="C326" s="19">
        <f>IF(OR($A326=0,$A326=""),"",VLOOKUP($A326,codes,2,FALSE))</f>
      </c>
      <c r="G326" s="18">
        <v>8</v>
      </c>
      <c r="H326" s="41" t="s">
        <v>893</v>
      </c>
      <c r="I326" s="162" t="str">
        <f t="shared" si="39"/>
        <v>SL</v>
      </c>
    </row>
    <row r="327" spans="1:9" ht="12.75">
      <c r="A327" s="19" t="s">
        <v>1110</v>
      </c>
      <c r="G327" s="18">
        <v>9</v>
      </c>
      <c r="H327" s="41" t="s">
        <v>894</v>
      </c>
      <c r="I327" s="162" t="str">
        <f t="shared" si="39"/>
        <v>W&amp;M</v>
      </c>
    </row>
    <row r="328" spans="1:9" ht="12.75">
      <c r="A328" s="19">
        <v>3</v>
      </c>
      <c r="B328" s="293" t="s">
        <v>1104</v>
      </c>
      <c r="C328" s="19" t="str">
        <f aca="true" t="shared" si="40" ref="C328:C334">IF(OR($A328=0,$A328=""),"",VLOOKUP($A328,codes,2,FALSE))</f>
        <v>WB</v>
      </c>
      <c r="G328" s="18">
        <v>10</v>
      </c>
      <c r="H328" s="41" t="s">
        <v>895</v>
      </c>
      <c r="I328" s="162" t="str">
        <f t="shared" si="39"/>
        <v>W&amp;M</v>
      </c>
    </row>
    <row r="329" spans="1:9" ht="12.75">
      <c r="A329" s="19">
        <v>9</v>
      </c>
      <c r="B329" s="293" t="s">
        <v>1111</v>
      </c>
      <c r="C329" s="19" t="str">
        <f t="shared" si="40"/>
        <v>W&amp;M</v>
      </c>
      <c r="G329" s="18">
        <v>11</v>
      </c>
      <c r="H329" s="41" t="s">
        <v>896</v>
      </c>
      <c r="I329" s="162" t="str">
        <f t="shared" si="39"/>
        <v>WOK</v>
      </c>
    </row>
    <row r="330" spans="2:9" ht="12.75">
      <c r="B330" s="293"/>
      <c r="C330" s="19">
        <f t="shared" si="40"/>
      </c>
      <c r="H330" s="41"/>
      <c r="I330" s="162">
        <f t="shared" si="39"/>
      </c>
    </row>
    <row r="331" spans="2:9" ht="12.75">
      <c r="B331" s="293"/>
      <c r="C331" s="19">
        <f t="shared" si="40"/>
      </c>
      <c r="H331" s="41"/>
      <c r="I331" s="162">
        <f t="shared" si="39"/>
      </c>
    </row>
    <row r="332" spans="3:9" ht="12.75">
      <c r="C332" s="19">
        <f t="shared" si="40"/>
      </c>
      <c r="H332" s="41"/>
      <c r="I332" s="162">
        <f t="shared" si="39"/>
      </c>
    </row>
    <row r="333" spans="3:9" ht="12.75">
      <c r="C333" s="19">
        <f t="shared" si="40"/>
      </c>
      <c r="I333" s="162">
        <f t="shared" si="39"/>
      </c>
    </row>
    <row r="334" spans="3:9" ht="12.75">
      <c r="C334" s="19">
        <f t="shared" si="40"/>
      </c>
      <c r="I334" s="162">
        <f t="shared" si="39"/>
      </c>
    </row>
    <row r="335" spans="1:9" ht="12.75">
      <c r="A335" s="40" t="s">
        <v>1249</v>
      </c>
      <c r="I335" s="162">
        <f t="shared" si="39"/>
      </c>
    </row>
    <row r="336" spans="1:9" ht="12.75">
      <c r="A336" s="19">
        <v>1</v>
      </c>
      <c r="B336" s="293" t="s">
        <v>1250</v>
      </c>
      <c r="C336" s="19" t="str">
        <f aca="true" t="shared" si="41" ref="C336:C349">IF(OR($A336=0,$A336=""),"",VLOOKUP($A336,codes,2,FALSE))</f>
        <v>BRK</v>
      </c>
      <c r="I336" s="162">
        <f t="shared" si="39"/>
      </c>
    </row>
    <row r="337" spans="1:9" ht="12.75">
      <c r="A337" s="40">
        <v>2</v>
      </c>
      <c r="B337" s="293" t="s">
        <v>1251</v>
      </c>
      <c r="C337" s="19" t="str">
        <f t="shared" si="41"/>
        <v>BRK</v>
      </c>
      <c r="I337" s="162">
        <f t="shared" si="39"/>
      </c>
    </row>
    <row r="338" spans="1:9" ht="12.75">
      <c r="A338" s="40">
        <v>3</v>
      </c>
      <c r="B338" s="293" t="s">
        <v>1252</v>
      </c>
      <c r="C338" s="19" t="str">
        <f t="shared" si="41"/>
        <v>WB</v>
      </c>
      <c r="I338" s="162">
        <f t="shared" si="39"/>
      </c>
    </row>
    <row r="339" spans="1:9" ht="12.75">
      <c r="A339" s="19">
        <v>4</v>
      </c>
      <c r="B339" s="293" t="s">
        <v>1253</v>
      </c>
      <c r="C339" s="19" t="str">
        <f t="shared" si="41"/>
        <v>WB</v>
      </c>
      <c r="I339" s="162">
        <f t="shared" si="39"/>
      </c>
    </row>
    <row r="340" spans="1:9" ht="12.75">
      <c r="A340" s="19">
        <v>5</v>
      </c>
      <c r="B340" s="293" t="s">
        <v>1254</v>
      </c>
      <c r="C340" s="19" t="str">
        <f t="shared" si="41"/>
        <v>RDG</v>
      </c>
      <c r="I340" s="162">
        <f t="shared" si="39"/>
      </c>
    </row>
    <row r="341" spans="1:9" ht="12.75">
      <c r="A341" s="19">
        <v>6</v>
      </c>
      <c r="B341" s="293" t="s">
        <v>1255</v>
      </c>
      <c r="C341" s="19" t="str">
        <f t="shared" si="41"/>
        <v>RDG</v>
      </c>
      <c r="I341" s="162">
        <f t="shared" si="39"/>
      </c>
    </row>
    <row r="342" spans="1:9" ht="12.75">
      <c r="A342" s="19">
        <v>9</v>
      </c>
      <c r="B342" s="293" t="s">
        <v>1256</v>
      </c>
      <c r="C342" s="19" t="str">
        <f t="shared" si="41"/>
        <v>W&amp;M</v>
      </c>
      <c r="I342" s="162">
        <f t="shared" si="39"/>
      </c>
    </row>
    <row r="343" spans="1:9" ht="12.75">
      <c r="A343" s="19">
        <v>10</v>
      </c>
      <c r="B343" s="293" t="s">
        <v>1257</v>
      </c>
      <c r="C343" s="19" t="str">
        <f t="shared" si="41"/>
        <v>W&amp;M</v>
      </c>
      <c r="I343" s="162">
        <f t="shared" si="39"/>
      </c>
    </row>
    <row r="344" spans="1:9" ht="12.75">
      <c r="A344" s="19">
        <v>11</v>
      </c>
      <c r="B344" s="293" t="s">
        <v>1258</v>
      </c>
      <c r="C344" s="19" t="str">
        <f t="shared" si="41"/>
        <v>WOK</v>
      </c>
      <c r="I344" s="162">
        <f t="shared" si="39"/>
      </c>
    </row>
    <row r="345" spans="1:9" ht="12.75">
      <c r="A345" s="19">
        <v>12</v>
      </c>
      <c r="B345" s="293" t="s">
        <v>1259</v>
      </c>
      <c r="C345" s="19" t="str">
        <f t="shared" si="41"/>
        <v>WOK</v>
      </c>
      <c r="G345" s="41" t="s">
        <v>897</v>
      </c>
      <c r="I345" s="162"/>
    </row>
    <row r="346" spans="1:9" ht="12.75">
      <c r="A346" s="308" t="s">
        <v>1260</v>
      </c>
      <c r="B346" s="40" t="s">
        <v>1261</v>
      </c>
      <c r="C346" s="19" t="s">
        <v>20</v>
      </c>
      <c r="G346" s="18">
        <v>1</v>
      </c>
      <c r="H346" s="41" t="s">
        <v>1408</v>
      </c>
      <c r="I346" s="162" t="str">
        <f aca="true" t="shared" si="42" ref="I346:I366">IF(OR($G346=0,$G346=""),"",VLOOKUP($G346,codes,2,FALSE))</f>
        <v>BRK</v>
      </c>
    </row>
    <row r="347" spans="2:9" ht="12.75">
      <c r="B347" s="40"/>
      <c r="C347" s="19">
        <f t="shared" si="41"/>
      </c>
      <c r="G347" s="18">
        <v>2</v>
      </c>
      <c r="H347" s="41" t="s">
        <v>898</v>
      </c>
      <c r="I347" s="162" t="str">
        <f t="shared" si="42"/>
        <v>BRK</v>
      </c>
    </row>
    <row r="348" spans="3:9" ht="12.75">
      <c r="C348" s="19">
        <f t="shared" si="41"/>
      </c>
      <c r="G348" s="18">
        <v>3</v>
      </c>
      <c r="H348" s="41" t="s">
        <v>899</v>
      </c>
      <c r="I348" s="162" t="str">
        <f t="shared" si="42"/>
        <v>WB</v>
      </c>
    </row>
    <row r="349" spans="3:9" ht="12.75">
      <c r="C349" s="19">
        <f t="shared" si="41"/>
      </c>
      <c r="G349" s="18">
        <v>4</v>
      </c>
      <c r="H349" s="41" t="s">
        <v>900</v>
      </c>
      <c r="I349" s="162" t="str">
        <f t="shared" si="42"/>
        <v>WB</v>
      </c>
    </row>
    <row r="350" spans="1:9" ht="12.75">
      <c r="A350" s="40" t="s">
        <v>1262</v>
      </c>
      <c r="G350" s="18">
        <v>5</v>
      </c>
      <c r="H350" s="41" t="s">
        <v>901</v>
      </c>
      <c r="I350" s="162" t="str">
        <f t="shared" si="42"/>
        <v>RDG</v>
      </c>
    </row>
    <row r="351" spans="1:9" ht="12.75">
      <c r="A351" s="19">
        <v>1</v>
      </c>
      <c r="B351" s="293" t="s">
        <v>1263</v>
      </c>
      <c r="C351" s="19" t="str">
        <f aca="true" t="shared" si="43" ref="C351:C366">IF(OR($A351=0,$A351=""),"",VLOOKUP($A351,codes,2,FALSE))</f>
        <v>BRK</v>
      </c>
      <c r="G351" s="18">
        <v>7</v>
      </c>
      <c r="H351" s="41" t="s">
        <v>902</v>
      </c>
      <c r="I351" s="162" t="str">
        <f t="shared" si="42"/>
        <v>SL</v>
      </c>
    </row>
    <row r="352" spans="1:9" ht="12.75">
      <c r="A352" s="19">
        <v>2</v>
      </c>
      <c r="B352" s="293" t="s">
        <v>1264</v>
      </c>
      <c r="C352" s="19" t="str">
        <f t="shared" si="43"/>
        <v>BRK</v>
      </c>
      <c r="G352" s="18">
        <v>8</v>
      </c>
      <c r="H352" s="41" t="s">
        <v>903</v>
      </c>
      <c r="I352" s="162" t="str">
        <f aca="true" t="shared" si="44" ref="I352:I357">IF(OR($G352=0,$G352=""),"",VLOOKUP($G352,codes,2,FALSE))</f>
        <v>SL</v>
      </c>
    </row>
    <row r="353" spans="1:9" ht="12.75">
      <c r="A353" s="19">
        <v>3</v>
      </c>
      <c r="B353" s="293" t="s">
        <v>1265</v>
      </c>
      <c r="C353" s="19" t="str">
        <f t="shared" si="43"/>
        <v>WB</v>
      </c>
      <c r="G353" s="18">
        <v>9</v>
      </c>
      <c r="H353" s="41" t="s">
        <v>904</v>
      </c>
      <c r="I353" s="162" t="str">
        <f t="shared" si="44"/>
        <v>W&amp;M</v>
      </c>
    </row>
    <row r="354" spans="1:9" ht="12.75">
      <c r="A354" s="19">
        <v>4</v>
      </c>
      <c r="B354" s="293" t="s">
        <v>1266</v>
      </c>
      <c r="C354" s="19" t="str">
        <f t="shared" si="43"/>
        <v>WB</v>
      </c>
      <c r="G354" s="18">
        <v>10</v>
      </c>
      <c r="H354" s="41" t="s">
        <v>905</v>
      </c>
      <c r="I354" s="162" t="str">
        <f t="shared" si="44"/>
        <v>W&amp;M</v>
      </c>
    </row>
    <row r="355" spans="1:9" ht="12.75">
      <c r="A355" s="19">
        <v>5</v>
      </c>
      <c r="B355" s="293" t="s">
        <v>1267</v>
      </c>
      <c r="C355" s="19" t="str">
        <f t="shared" si="43"/>
        <v>RDG</v>
      </c>
      <c r="G355" s="18">
        <v>11</v>
      </c>
      <c r="H355" s="41" t="s">
        <v>906</v>
      </c>
      <c r="I355" s="162" t="str">
        <f t="shared" si="44"/>
        <v>WOK</v>
      </c>
    </row>
    <row r="356" spans="1:9" ht="12.75">
      <c r="A356" s="19">
        <v>6</v>
      </c>
      <c r="B356" s="293" t="s">
        <v>1268</v>
      </c>
      <c r="C356" s="19" t="str">
        <f t="shared" si="43"/>
        <v>RDG</v>
      </c>
      <c r="G356" s="18">
        <v>12</v>
      </c>
      <c r="H356" s="41" t="s">
        <v>907</v>
      </c>
      <c r="I356" s="162" t="str">
        <f t="shared" si="44"/>
        <v>WOK</v>
      </c>
    </row>
    <row r="357" spans="1:9" ht="12.75">
      <c r="A357" s="19">
        <v>7</v>
      </c>
      <c r="B357" s="293" t="s">
        <v>1269</v>
      </c>
      <c r="C357" s="19" t="str">
        <f t="shared" si="43"/>
        <v>SL</v>
      </c>
      <c r="H357" s="41"/>
      <c r="I357" s="162">
        <f t="shared" si="44"/>
      </c>
    </row>
    <row r="358" spans="1:9" ht="12.75">
      <c r="A358" s="19">
        <v>8</v>
      </c>
      <c r="B358" s="293" t="s">
        <v>1270</v>
      </c>
      <c r="C358" s="19" t="str">
        <f t="shared" si="43"/>
        <v>SL</v>
      </c>
      <c r="I358" s="162">
        <f t="shared" si="42"/>
      </c>
    </row>
    <row r="359" spans="1:9" ht="12.75">
      <c r="A359" s="19">
        <v>9</v>
      </c>
      <c r="B359" s="293" t="s">
        <v>1271</v>
      </c>
      <c r="C359" s="19" t="str">
        <f t="shared" si="43"/>
        <v>W&amp;M</v>
      </c>
      <c r="I359" s="162">
        <f t="shared" si="42"/>
      </c>
    </row>
    <row r="360" spans="1:9" ht="12.75">
      <c r="A360" s="19">
        <v>10</v>
      </c>
      <c r="B360" s="293" t="s">
        <v>1272</v>
      </c>
      <c r="C360" s="19" t="str">
        <f t="shared" si="43"/>
        <v>W&amp;M</v>
      </c>
      <c r="I360" s="162">
        <f t="shared" si="42"/>
      </c>
    </row>
    <row r="361" spans="1:9" ht="12.75">
      <c r="A361" s="19">
        <v>11</v>
      </c>
      <c r="B361" s="293" t="s">
        <v>1273</v>
      </c>
      <c r="C361" s="19" t="str">
        <f t="shared" si="43"/>
        <v>WOK</v>
      </c>
      <c r="I361" s="162">
        <f t="shared" si="42"/>
      </c>
    </row>
    <row r="362" spans="1:9" ht="12.75">
      <c r="A362" s="19">
        <v>12</v>
      </c>
      <c r="B362" s="293" t="s">
        <v>1274</v>
      </c>
      <c r="C362" s="19" t="str">
        <f t="shared" si="43"/>
        <v>WOK</v>
      </c>
      <c r="I362" s="162">
        <f t="shared" si="42"/>
      </c>
    </row>
    <row r="363" spans="1:9" ht="12.75">
      <c r="A363" s="40"/>
      <c r="B363" s="293"/>
      <c r="C363" s="19">
        <f t="shared" si="43"/>
      </c>
      <c r="I363" s="162">
        <f t="shared" si="42"/>
      </c>
    </row>
    <row r="364" spans="3:9" ht="12.75">
      <c r="C364" s="19">
        <f t="shared" si="43"/>
      </c>
      <c r="I364" s="162">
        <f t="shared" si="42"/>
      </c>
    </row>
    <row r="365" spans="3:9" ht="12.75">
      <c r="C365" s="19">
        <f t="shared" si="43"/>
      </c>
      <c r="I365" s="162">
        <f t="shared" si="42"/>
      </c>
    </row>
    <row r="366" spans="3:9" ht="12.75">
      <c r="C366" s="19">
        <f t="shared" si="43"/>
      </c>
      <c r="I366" s="162">
        <f t="shared" si="42"/>
      </c>
    </row>
    <row r="367" spans="1:9" ht="12.75">
      <c r="A367" s="40" t="s">
        <v>1275</v>
      </c>
      <c r="G367" s="41" t="s">
        <v>908</v>
      </c>
      <c r="I367" s="162"/>
    </row>
    <row r="368" spans="1:9" ht="12.75">
      <c r="A368" s="19" t="s">
        <v>91</v>
      </c>
      <c r="G368" s="18">
        <v>1</v>
      </c>
      <c r="H368" s="41" t="s">
        <v>909</v>
      </c>
      <c r="I368" s="162" t="str">
        <f aca="true" t="shared" si="45" ref="I368:I392">IF(OR($G368=0,$G368=""),"",VLOOKUP($G368,codes,2,FALSE))</f>
        <v>BRK</v>
      </c>
    </row>
    <row r="369" spans="1:9" ht="12.75">
      <c r="A369" s="19">
        <v>1</v>
      </c>
      <c r="B369" s="293" t="s">
        <v>1276</v>
      </c>
      <c r="C369" s="19" t="str">
        <f aca="true" t="shared" si="46" ref="C369:C375">IF(OR($A369=0,$A369=""),"",VLOOKUP($A369,codes,2,FALSE))</f>
        <v>BRK</v>
      </c>
      <c r="G369" s="18">
        <v>2</v>
      </c>
      <c r="H369" s="41" t="s">
        <v>910</v>
      </c>
      <c r="I369" s="162" t="str">
        <f t="shared" si="45"/>
        <v>BRK</v>
      </c>
    </row>
    <row r="370" spans="1:9" ht="12.75">
      <c r="A370" s="19">
        <v>4</v>
      </c>
      <c r="B370" s="293" t="s">
        <v>1277</v>
      </c>
      <c r="C370" s="19" t="str">
        <f t="shared" si="46"/>
        <v>WB</v>
      </c>
      <c r="G370" s="18">
        <v>3</v>
      </c>
      <c r="H370" s="41" t="s">
        <v>911</v>
      </c>
      <c r="I370" s="162" t="str">
        <f t="shared" si="45"/>
        <v>WB</v>
      </c>
    </row>
    <row r="371" spans="1:9" ht="12.75">
      <c r="A371" s="19">
        <v>5</v>
      </c>
      <c r="B371" s="293" t="s">
        <v>1278</v>
      </c>
      <c r="C371" s="19" t="str">
        <f t="shared" si="46"/>
        <v>RDG</v>
      </c>
      <c r="G371" s="18">
        <v>4</v>
      </c>
      <c r="H371" s="41" t="s">
        <v>912</v>
      </c>
      <c r="I371" s="162" t="str">
        <f t="shared" si="45"/>
        <v>WB</v>
      </c>
    </row>
    <row r="372" spans="1:9" ht="12.75">
      <c r="A372" s="19">
        <v>11</v>
      </c>
      <c r="B372" s="293" t="s">
        <v>1279</v>
      </c>
      <c r="C372" s="19" t="str">
        <f t="shared" si="46"/>
        <v>WOK</v>
      </c>
      <c r="G372" s="18">
        <v>5</v>
      </c>
      <c r="H372" s="41" t="s">
        <v>913</v>
      </c>
      <c r="I372" s="162" t="str">
        <f t="shared" si="45"/>
        <v>RDG</v>
      </c>
    </row>
    <row r="373" spans="1:9" ht="12.75">
      <c r="A373" s="19">
        <v>10</v>
      </c>
      <c r="B373" s="293" t="s">
        <v>1280</v>
      </c>
      <c r="C373" s="19" t="str">
        <f t="shared" si="46"/>
        <v>W&amp;M</v>
      </c>
      <c r="G373" s="18">
        <v>6</v>
      </c>
      <c r="H373" s="41" t="s">
        <v>914</v>
      </c>
      <c r="I373" s="162" t="str">
        <f t="shared" si="45"/>
        <v>RDG</v>
      </c>
    </row>
    <row r="374" spans="1:9" ht="12.75">
      <c r="A374" s="19">
        <v>8</v>
      </c>
      <c r="B374" s="295" t="s">
        <v>1281</v>
      </c>
      <c r="C374" s="19" t="str">
        <f t="shared" si="46"/>
        <v>SL</v>
      </c>
      <c r="G374" s="18">
        <v>7</v>
      </c>
      <c r="H374" s="41" t="s">
        <v>915</v>
      </c>
      <c r="I374" s="162" t="str">
        <f t="shared" si="45"/>
        <v>SL</v>
      </c>
    </row>
    <row r="375" spans="1:9" ht="12.75">
      <c r="A375" s="40"/>
      <c r="C375" s="19">
        <f t="shared" si="46"/>
      </c>
      <c r="G375" s="18">
        <v>8</v>
      </c>
      <c r="H375" s="41" t="s">
        <v>916</v>
      </c>
      <c r="I375" s="162" t="str">
        <f t="shared" si="45"/>
        <v>SL</v>
      </c>
    </row>
    <row r="376" spans="1:9" ht="12.75">
      <c r="A376" s="19" t="s">
        <v>93</v>
      </c>
      <c r="B376" s="40"/>
      <c r="G376" s="18">
        <v>9</v>
      </c>
      <c r="H376" s="41" t="s">
        <v>917</v>
      </c>
      <c r="I376" s="162" t="str">
        <f t="shared" si="45"/>
        <v>W&amp;M</v>
      </c>
    </row>
    <row r="377" spans="1:9" ht="12.75">
      <c r="A377" s="19">
        <v>2</v>
      </c>
      <c r="B377" s="293" t="s">
        <v>1282</v>
      </c>
      <c r="C377" s="19" t="str">
        <f aca="true" t="shared" si="47" ref="C377:C383">IF(OR($A377=0,$A377=""),"",VLOOKUP($A377,codes,2,FALSE))</f>
        <v>BRK</v>
      </c>
      <c r="G377" s="18">
        <v>10</v>
      </c>
      <c r="H377" s="41" t="s">
        <v>918</v>
      </c>
      <c r="I377" s="162" t="str">
        <f t="shared" si="45"/>
        <v>W&amp;M</v>
      </c>
    </row>
    <row r="378" spans="1:9" ht="12.75">
      <c r="A378" s="19">
        <v>3</v>
      </c>
      <c r="B378" s="293" t="s">
        <v>1283</v>
      </c>
      <c r="C378" s="19" t="str">
        <f t="shared" si="47"/>
        <v>WB</v>
      </c>
      <c r="G378" s="18">
        <v>11</v>
      </c>
      <c r="H378" s="41" t="s">
        <v>919</v>
      </c>
      <c r="I378" s="162" t="str">
        <f t="shared" si="45"/>
        <v>WOK</v>
      </c>
    </row>
    <row r="379" spans="1:9" ht="12.75">
      <c r="A379" s="19">
        <v>6</v>
      </c>
      <c r="B379" s="293" t="s">
        <v>1284</v>
      </c>
      <c r="C379" s="19" t="str">
        <f t="shared" si="47"/>
        <v>RDG</v>
      </c>
      <c r="G379" s="18">
        <v>12</v>
      </c>
      <c r="H379" s="41" t="s">
        <v>920</v>
      </c>
      <c r="I379" s="162" t="str">
        <f t="shared" si="45"/>
        <v>WOK</v>
      </c>
    </row>
    <row r="380" spans="1:9" ht="12.75">
      <c r="A380" s="19">
        <v>7</v>
      </c>
      <c r="B380" s="293"/>
      <c r="C380" s="19" t="str">
        <f t="shared" si="47"/>
        <v>SL</v>
      </c>
      <c r="I380" s="162">
        <f t="shared" si="45"/>
      </c>
    </row>
    <row r="381" spans="1:9" ht="12.75">
      <c r="A381" s="19">
        <v>9</v>
      </c>
      <c r="B381" s="293" t="s">
        <v>1285</v>
      </c>
      <c r="C381" s="19" t="str">
        <f t="shared" si="47"/>
        <v>W&amp;M</v>
      </c>
      <c r="I381" s="162">
        <f t="shared" si="45"/>
      </c>
    </row>
    <row r="382" spans="1:9" ht="12.75">
      <c r="A382" s="19">
        <v>12</v>
      </c>
      <c r="B382" s="293" t="s">
        <v>1286</v>
      </c>
      <c r="C382" s="19" t="str">
        <f t="shared" si="47"/>
        <v>WOK</v>
      </c>
      <c r="I382" s="162">
        <f t="shared" si="45"/>
      </c>
    </row>
    <row r="383" spans="3:9" ht="12.75">
      <c r="C383" s="19">
        <f t="shared" si="47"/>
      </c>
      <c r="I383" s="162">
        <f t="shared" si="45"/>
      </c>
    </row>
    <row r="384" spans="1:9" ht="12.75">
      <c r="A384" s="40" t="s">
        <v>1287</v>
      </c>
      <c r="I384" s="162">
        <f t="shared" si="45"/>
      </c>
    </row>
    <row r="385" spans="3:9" ht="12.75">
      <c r="C385" s="19">
        <f>IF(OR($A385=0,$A385=""),"",VLOOKUP($A385,codes,2,FALSE))</f>
      </c>
      <c r="I385" s="162">
        <f t="shared" si="45"/>
      </c>
    </row>
    <row r="386" spans="1:9" ht="12.75">
      <c r="A386" s="19" t="s">
        <v>91</v>
      </c>
      <c r="I386" s="162">
        <f t="shared" si="45"/>
      </c>
    </row>
    <row r="387" spans="1:9" ht="12.75">
      <c r="A387" s="19">
        <v>1</v>
      </c>
      <c r="B387" s="293" t="s">
        <v>1288</v>
      </c>
      <c r="C387" s="19" t="str">
        <f aca="true" t="shared" si="48" ref="C387:C393">IF(OR($A387=0,$A387=""),"",VLOOKUP($A387,codes,2,FALSE))</f>
        <v>BRK</v>
      </c>
      <c r="I387" s="162">
        <f t="shared" si="45"/>
      </c>
    </row>
    <row r="388" spans="1:9" ht="12.75">
      <c r="A388" s="19">
        <v>4</v>
      </c>
      <c r="B388" s="293" t="s">
        <v>1289</v>
      </c>
      <c r="C388" s="19" t="str">
        <f t="shared" si="48"/>
        <v>WB</v>
      </c>
      <c r="I388" s="162">
        <f t="shared" si="45"/>
      </c>
    </row>
    <row r="389" spans="1:9" ht="12.75">
      <c r="A389" s="40">
        <v>5</v>
      </c>
      <c r="B389" s="293" t="s">
        <v>1290</v>
      </c>
      <c r="C389" s="19" t="str">
        <f t="shared" si="48"/>
        <v>RDG</v>
      </c>
      <c r="I389" s="162">
        <f t="shared" si="45"/>
      </c>
    </row>
    <row r="390" spans="1:9" ht="12.75">
      <c r="A390" s="19">
        <v>11</v>
      </c>
      <c r="B390" s="293" t="s">
        <v>1291</v>
      </c>
      <c r="C390" s="19" t="str">
        <f t="shared" si="48"/>
        <v>WOK</v>
      </c>
      <c r="I390" s="162">
        <f t="shared" si="45"/>
      </c>
    </row>
    <row r="391" spans="1:9" ht="12.75">
      <c r="A391" s="19">
        <v>10</v>
      </c>
      <c r="B391" s="293" t="s">
        <v>1292</v>
      </c>
      <c r="C391" s="19" t="str">
        <f t="shared" si="48"/>
        <v>W&amp;M</v>
      </c>
      <c r="I391" s="162">
        <f t="shared" si="45"/>
      </c>
    </row>
    <row r="392" spans="1:9" ht="12.75">
      <c r="A392" s="19">
        <v>8</v>
      </c>
      <c r="B392" s="40" t="s">
        <v>1293</v>
      </c>
      <c r="C392" s="19" t="str">
        <f t="shared" si="48"/>
        <v>SL</v>
      </c>
      <c r="I392" s="162">
        <f t="shared" si="45"/>
      </c>
    </row>
    <row r="393" spans="3:9" ht="12.75">
      <c r="C393" s="19">
        <f t="shared" si="48"/>
      </c>
      <c r="G393" s="41" t="s">
        <v>921</v>
      </c>
      <c r="I393" s="162"/>
    </row>
    <row r="394" spans="1:9" ht="12.75">
      <c r="A394" s="19" t="s">
        <v>93</v>
      </c>
      <c r="B394" s="40"/>
      <c r="G394" s="18">
        <v>1</v>
      </c>
      <c r="H394" s="41" t="s">
        <v>922</v>
      </c>
      <c r="I394" s="162" t="str">
        <f aca="true" t="shared" si="49" ref="I394:I412">IF(OR($G394=0,$G394=""),"",VLOOKUP($G394,codes,2,FALSE))</f>
        <v>BRK</v>
      </c>
    </row>
    <row r="395" spans="1:9" ht="12.75">
      <c r="A395" s="19">
        <v>2</v>
      </c>
      <c r="B395" s="293" t="s">
        <v>1294</v>
      </c>
      <c r="C395" s="19" t="str">
        <f aca="true" t="shared" si="50" ref="C395:C403">IF(OR($A395=0,$A395=""),"",VLOOKUP($A395,codes,2,FALSE))</f>
        <v>BRK</v>
      </c>
      <c r="G395" s="18">
        <v>2</v>
      </c>
      <c r="H395" s="41" t="s">
        <v>923</v>
      </c>
      <c r="I395" s="162" t="str">
        <f t="shared" si="49"/>
        <v>BRK</v>
      </c>
    </row>
    <row r="396" spans="1:9" ht="12.75">
      <c r="A396" s="19">
        <v>3</v>
      </c>
      <c r="B396" s="293" t="s">
        <v>1295</v>
      </c>
      <c r="C396" s="19" t="str">
        <f t="shared" si="50"/>
        <v>WB</v>
      </c>
      <c r="G396" s="18">
        <v>3</v>
      </c>
      <c r="H396" s="41" t="s">
        <v>924</v>
      </c>
      <c r="I396" s="162" t="str">
        <f t="shared" si="49"/>
        <v>WB</v>
      </c>
    </row>
    <row r="397" spans="1:9" ht="12.75">
      <c r="A397" s="40">
        <v>6</v>
      </c>
      <c r="B397" s="293" t="s">
        <v>1296</v>
      </c>
      <c r="C397" s="19" t="str">
        <f t="shared" si="50"/>
        <v>RDG</v>
      </c>
      <c r="G397" s="18">
        <v>4</v>
      </c>
      <c r="H397" s="41" t="s">
        <v>925</v>
      </c>
      <c r="I397" s="162" t="str">
        <f t="shared" si="49"/>
        <v>WB</v>
      </c>
    </row>
    <row r="398" spans="1:9" ht="12.75">
      <c r="A398" s="19">
        <v>7</v>
      </c>
      <c r="B398" s="293" t="s">
        <v>1297</v>
      </c>
      <c r="C398" s="19" t="str">
        <f t="shared" si="50"/>
        <v>SL</v>
      </c>
      <c r="G398" s="18">
        <v>5</v>
      </c>
      <c r="H398" s="41" t="s">
        <v>926</v>
      </c>
      <c r="I398" s="162" t="str">
        <f t="shared" si="49"/>
        <v>RDG</v>
      </c>
    </row>
    <row r="399" spans="1:9" ht="12.75">
      <c r="A399" s="19">
        <v>9</v>
      </c>
      <c r="B399" s="293" t="s">
        <v>1298</v>
      </c>
      <c r="C399" s="19" t="str">
        <f t="shared" si="50"/>
        <v>W&amp;M</v>
      </c>
      <c r="G399" s="18">
        <v>9</v>
      </c>
      <c r="H399" s="41" t="s">
        <v>928</v>
      </c>
      <c r="I399" s="162" t="str">
        <f t="shared" si="49"/>
        <v>W&amp;M</v>
      </c>
    </row>
    <row r="400" spans="1:9" ht="15">
      <c r="A400" s="20">
        <v>12</v>
      </c>
      <c r="B400" s="293" t="s">
        <v>1299</v>
      </c>
      <c r="C400" s="19" t="str">
        <f t="shared" si="50"/>
        <v>WOK</v>
      </c>
      <c r="G400" s="18">
        <v>10</v>
      </c>
      <c r="H400" s="41" t="s">
        <v>929</v>
      </c>
      <c r="I400" s="162" t="str">
        <f t="shared" si="49"/>
        <v>W&amp;M</v>
      </c>
    </row>
    <row r="401" spans="2:9" ht="12.75">
      <c r="B401" s="40"/>
      <c r="C401" s="19">
        <f t="shared" si="50"/>
      </c>
      <c r="G401" s="18">
        <v>11</v>
      </c>
      <c r="H401" s="41" t="s">
        <v>1422</v>
      </c>
      <c r="I401" s="162" t="str">
        <f t="shared" si="49"/>
        <v>WOK</v>
      </c>
    </row>
    <row r="402" spans="3:9" ht="12.75">
      <c r="C402" s="19">
        <f t="shared" si="50"/>
      </c>
      <c r="G402" s="307" t="s">
        <v>927</v>
      </c>
      <c r="H402" s="41" t="s">
        <v>930</v>
      </c>
      <c r="I402" s="162" t="s">
        <v>19</v>
      </c>
    </row>
    <row r="403" spans="3:9" ht="12.75">
      <c r="C403" s="19">
        <f t="shared" si="50"/>
      </c>
      <c r="G403" s="18">
        <v>12</v>
      </c>
      <c r="H403" s="41" t="s">
        <v>931</v>
      </c>
      <c r="I403" s="162" t="str">
        <f t="shared" si="49"/>
        <v>WOK</v>
      </c>
    </row>
    <row r="404" spans="1:9" ht="12.75">
      <c r="A404" s="40" t="s">
        <v>1300</v>
      </c>
      <c r="H404" s="41"/>
      <c r="I404" s="162">
        <f t="shared" si="49"/>
      </c>
    </row>
    <row r="405" spans="1:9" ht="12.75">
      <c r="A405" s="19" t="s">
        <v>98</v>
      </c>
      <c r="I405" s="162">
        <f t="shared" si="49"/>
      </c>
    </row>
    <row r="406" spans="1:9" ht="12.75">
      <c r="A406" s="19">
        <v>2</v>
      </c>
      <c r="B406" s="293" t="s">
        <v>1301</v>
      </c>
      <c r="C406" s="19" t="str">
        <f aca="true" t="shared" si="51" ref="C406:C412">IF(OR($A406=0,$A406=""),"",VLOOKUP($A406,codes,2,FALSE))</f>
        <v>BRK</v>
      </c>
      <c r="I406" s="162">
        <f t="shared" si="49"/>
      </c>
    </row>
    <row r="407" spans="1:9" ht="12.75">
      <c r="A407" s="19">
        <v>3</v>
      </c>
      <c r="B407" s="293" t="s">
        <v>1302</v>
      </c>
      <c r="C407" s="19" t="str">
        <f t="shared" si="51"/>
        <v>WB</v>
      </c>
      <c r="I407" s="162">
        <f t="shared" si="49"/>
      </c>
    </row>
    <row r="408" spans="1:9" ht="12.75">
      <c r="A408" s="19">
        <v>6</v>
      </c>
      <c r="B408" s="293" t="s">
        <v>1303</v>
      </c>
      <c r="C408" s="19" t="str">
        <f t="shared" si="51"/>
        <v>RDG</v>
      </c>
      <c r="I408" s="162">
        <f t="shared" si="49"/>
      </c>
    </row>
    <row r="409" spans="1:9" ht="12.75">
      <c r="A409" s="19">
        <v>11</v>
      </c>
      <c r="B409" s="293" t="s">
        <v>1304</v>
      </c>
      <c r="C409" s="19" t="str">
        <f t="shared" si="51"/>
        <v>WOK</v>
      </c>
      <c r="I409" s="162">
        <f t="shared" si="49"/>
      </c>
    </row>
    <row r="410" spans="1:9" ht="12.75">
      <c r="A410" s="19">
        <v>9</v>
      </c>
      <c r="B410" s="293" t="s">
        <v>1305</v>
      </c>
      <c r="C410" s="19" t="str">
        <f t="shared" si="51"/>
        <v>W&amp;M</v>
      </c>
      <c r="I410" s="162">
        <f t="shared" si="49"/>
      </c>
    </row>
    <row r="411" spans="3:9" ht="12.75">
      <c r="C411" s="19">
        <f t="shared" si="51"/>
      </c>
      <c r="I411" s="162">
        <f t="shared" si="49"/>
      </c>
    </row>
    <row r="412" spans="2:9" ht="12.75">
      <c r="B412" s="40"/>
      <c r="C412" s="19">
        <f t="shared" si="51"/>
      </c>
      <c r="I412" s="162">
        <f t="shared" si="49"/>
      </c>
    </row>
    <row r="413" spans="1:9" ht="12.75">
      <c r="A413" s="19" t="s">
        <v>95</v>
      </c>
      <c r="G413" s="18" t="s">
        <v>97</v>
      </c>
      <c r="I413" s="162"/>
    </row>
    <row r="414" spans="1:9" ht="12.75">
      <c r="A414" s="19">
        <v>1</v>
      </c>
      <c r="B414" s="293" t="s">
        <v>1306</v>
      </c>
      <c r="C414" s="19" t="str">
        <f aca="true" t="shared" si="52" ref="C414:C421">IF(OR($A414=0,$A414=""),"",VLOOKUP($A414,codes,2,FALSE))</f>
        <v>BRK</v>
      </c>
      <c r="G414" s="41" t="s">
        <v>932</v>
      </c>
      <c r="I414" s="162"/>
    </row>
    <row r="415" spans="1:9" ht="12.75">
      <c r="A415" s="19">
        <v>10</v>
      </c>
      <c r="B415" s="293" t="s">
        <v>1307</v>
      </c>
      <c r="C415" s="19" t="str">
        <f t="shared" si="52"/>
        <v>W&amp;M</v>
      </c>
      <c r="G415" s="18">
        <v>11</v>
      </c>
      <c r="H415" s="41" t="s">
        <v>930</v>
      </c>
      <c r="I415" s="162" t="str">
        <f aca="true" t="shared" si="53" ref="I415:I422">IF(OR($G415=0,$G415=""),"",VLOOKUP($G415,codes,2,FALSE))</f>
        <v>WOK</v>
      </c>
    </row>
    <row r="416" spans="1:9" ht="12.75">
      <c r="A416" s="19">
        <v>5</v>
      </c>
      <c r="B416" s="293" t="s">
        <v>1308</v>
      </c>
      <c r="C416" s="19" t="str">
        <f t="shared" si="52"/>
        <v>RDG</v>
      </c>
      <c r="H416" s="41"/>
      <c r="I416" s="162">
        <f t="shared" si="53"/>
      </c>
    </row>
    <row r="417" spans="1:9" ht="12.75">
      <c r="A417" s="19">
        <v>12</v>
      </c>
      <c r="B417" s="19" t="s">
        <v>1309</v>
      </c>
      <c r="C417" s="19" t="str">
        <f t="shared" si="52"/>
        <v>WOK</v>
      </c>
      <c r="H417" s="41"/>
      <c r="I417" s="162">
        <f t="shared" si="53"/>
      </c>
    </row>
    <row r="418" spans="2:9" ht="12.75">
      <c r="B418" s="293"/>
      <c r="C418" s="19">
        <f t="shared" si="52"/>
      </c>
      <c r="I418" s="162">
        <f t="shared" si="53"/>
      </c>
    </row>
    <row r="419" spans="1:9" ht="12.75">
      <c r="A419" s="40"/>
      <c r="B419" s="293"/>
      <c r="C419" s="19">
        <f t="shared" si="52"/>
      </c>
      <c r="I419" s="162">
        <f t="shared" si="53"/>
      </c>
    </row>
    <row r="420" spans="2:9" ht="12.75">
      <c r="B420" s="40"/>
      <c r="C420" s="19">
        <f t="shared" si="52"/>
      </c>
      <c r="I420" s="162">
        <f t="shared" si="53"/>
      </c>
    </row>
    <row r="421" spans="3:9" ht="12.75">
      <c r="C421" s="19">
        <f t="shared" si="52"/>
      </c>
      <c r="I421" s="162">
        <f t="shared" si="53"/>
      </c>
    </row>
    <row r="422" spans="1:9" ht="12.75">
      <c r="A422" s="40" t="s">
        <v>1310</v>
      </c>
      <c r="I422" s="162">
        <f t="shared" si="53"/>
      </c>
    </row>
    <row r="423" spans="1:9" ht="12.75">
      <c r="A423" s="19" t="s">
        <v>91</v>
      </c>
      <c r="G423" s="41" t="s">
        <v>933</v>
      </c>
      <c r="I423" s="162"/>
    </row>
    <row r="424" spans="1:9" ht="12.75">
      <c r="A424" s="19">
        <v>1</v>
      </c>
      <c r="B424" s="293" t="s">
        <v>1311</v>
      </c>
      <c r="C424" s="19" t="str">
        <f aca="true" t="shared" si="54" ref="C424:C430">IF(OR($A424=0,$A424=""),"",VLOOKUP($A424,codes,2,FALSE))</f>
        <v>BRK</v>
      </c>
      <c r="I424" s="162">
        <f aca="true" t="shared" si="55" ref="I424:I448">IF(OR($G424=0,$G424=""),"",VLOOKUP($G424,codes,2,FALSE))</f>
      </c>
    </row>
    <row r="425" spans="1:9" ht="12.75">
      <c r="A425" s="19">
        <v>4</v>
      </c>
      <c r="B425" s="293" t="s">
        <v>1312</v>
      </c>
      <c r="C425" s="19" t="str">
        <f t="shared" si="54"/>
        <v>WB</v>
      </c>
      <c r="G425" s="18">
        <v>1</v>
      </c>
      <c r="H425" s="41" t="s">
        <v>934</v>
      </c>
      <c r="I425" s="162" t="str">
        <f t="shared" si="55"/>
        <v>BRK</v>
      </c>
    </row>
    <row r="426" spans="1:9" ht="12.75">
      <c r="A426" s="19">
        <v>5</v>
      </c>
      <c r="B426" s="293" t="s">
        <v>1313</v>
      </c>
      <c r="C426" s="19" t="str">
        <f t="shared" si="54"/>
        <v>RDG</v>
      </c>
      <c r="G426" s="18">
        <v>3</v>
      </c>
      <c r="H426" s="41" t="s">
        <v>935</v>
      </c>
      <c r="I426" s="162" t="str">
        <f t="shared" si="55"/>
        <v>WB</v>
      </c>
    </row>
    <row r="427" spans="1:9" ht="12.75">
      <c r="A427" s="40">
        <v>8</v>
      </c>
      <c r="B427" s="19" t="s">
        <v>1315</v>
      </c>
      <c r="C427" s="19" t="str">
        <f t="shared" si="54"/>
        <v>SL</v>
      </c>
      <c r="G427" s="18">
        <v>4</v>
      </c>
      <c r="H427" s="41" t="s">
        <v>936</v>
      </c>
      <c r="I427" s="162" t="str">
        <f t="shared" si="55"/>
        <v>WB</v>
      </c>
    </row>
    <row r="428" spans="1:9" ht="12.75">
      <c r="A428" s="19">
        <v>9</v>
      </c>
      <c r="B428" s="293" t="s">
        <v>1314</v>
      </c>
      <c r="C428" s="19" t="str">
        <f t="shared" si="54"/>
        <v>W&amp;M</v>
      </c>
      <c r="G428" s="18">
        <v>9</v>
      </c>
      <c r="H428" s="41" t="s">
        <v>937</v>
      </c>
      <c r="I428" s="162" t="str">
        <f t="shared" si="55"/>
        <v>W&amp;M</v>
      </c>
    </row>
    <row r="429" spans="1:9" ht="12.75">
      <c r="A429" s="19">
        <v>11</v>
      </c>
      <c r="B429" s="293" t="s">
        <v>1316</v>
      </c>
      <c r="C429" s="19" t="str">
        <f t="shared" si="54"/>
        <v>WOK</v>
      </c>
      <c r="G429" s="41">
        <v>10</v>
      </c>
      <c r="H429" s="41" t="s">
        <v>938</v>
      </c>
      <c r="I429" s="162" t="str">
        <f t="shared" si="55"/>
        <v>W&amp;M</v>
      </c>
    </row>
    <row r="430" spans="3:9" ht="12.75">
      <c r="C430" s="19">
        <f t="shared" si="54"/>
      </c>
      <c r="G430" s="41">
        <v>11</v>
      </c>
      <c r="H430" s="41" t="s">
        <v>939</v>
      </c>
      <c r="I430" s="162" t="str">
        <f t="shared" si="55"/>
        <v>WOK</v>
      </c>
    </row>
    <row r="431" spans="1:9" ht="12.75">
      <c r="A431" s="19" t="s">
        <v>93</v>
      </c>
      <c r="G431" s="18">
        <v>12</v>
      </c>
      <c r="H431" s="41" t="s">
        <v>940</v>
      </c>
      <c r="I431" s="162" t="str">
        <f t="shared" si="55"/>
        <v>WOK</v>
      </c>
    </row>
    <row r="432" spans="1:9" ht="12.75">
      <c r="A432" s="19">
        <v>2</v>
      </c>
      <c r="B432" s="293" t="s">
        <v>1317</v>
      </c>
      <c r="C432" s="19" t="str">
        <f aca="true" t="shared" si="56" ref="C432:C439">IF(OR($A432=0,$A432=""),"",VLOOKUP($A432,codes,2,FALSE))</f>
        <v>BRK</v>
      </c>
      <c r="H432" s="41"/>
      <c r="I432" s="162">
        <f t="shared" si="55"/>
      </c>
    </row>
    <row r="433" spans="1:9" ht="12.75">
      <c r="A433" s="19">
        <v>3</v>
      </c>
      <c r="B433" s="293" t="s">
        <v>1318</v>
      </c>
      <c r="C433" s="19" t="str">
        <f t="shared" si="56"/>
        <v>WB</v>
      </c>
      <c r="H433" s="41"/>
      <c r="I433" s="162">
        <f t="shared" si="55"/>
      </c>
    </row>
    <row r="434" spans="1:9" ht="12.75">
      <c r="A434" s="19">
        <v>6</v>
      </c>
      <c r="B434" s="293" t="s">
        <v>1319</v>
      </c>
      <c r="C434" s="19" t="str">
        <f t="shared" si="56"/>
        <v>RDG</v>
      </c>
      <c r="H434" s="41"/>
      <c r="I434" s="162">
        <f t="shared" si="55"/>
      </c>
    </row>
    <row r="435" spans="1:9" ht="12.75">
      <c r="A435" s="19">
        <v>7</v>
      </c>
      <c r="B435" s="293" t="s">
        <v>1320</v>
      </c>
      <c r="C435" s="19" t="str">
        <f t="shared" si="56"/>
        <v>SL</v>
      </c>
      <c r="I435" s="162">
        <f t="shared" si="55"/>
      </c>
    </row>
    <row r="436" spans="1:9" ht="12.75">
      <c r="A436" s="19">
        <v>10</v>
      </c>
      <c r="B436" s="293"/>
      <c r="C436" s="19" t="str">
        <f t="shared" si="56"/>
        <v>W&amp;M</v>
      </c>
      <c r="I436" s="162">
        <f t="shared" si="55"/>
      </c>
    </row>
    <row r="437" spans="1:9" ht="12.75">
      <c r="A437" s="19">
        <v>12</v>
      </c>
      <c r="B437" s="293" t="s">
        <v>1321</v>
      </c>
      <c r="C437" s="19" t="str">
        <f t="shared" si="56"/>
        <v>WOK</v>
      </c>
      <c r="I437" s="162">
        <f t="shared" si="55"/>
      </c>
    </row>
    <row r="438" spans="3:9" ht="12.75">
      <c r="C438" s="19">
        <f t="shared" si="56"/>
      </c>
      <c r="I438" s="162">
        <f t="shared" si="55"/>
      </c>
    </row>
    <row r="439" spans="3:9" ht="12.75">
      <c r="C439" s="19">
        <f t="shared" si="56"/>
      </c>
      <c r="I439" s="162">
        <f t="shared" si="55"/>
      </c>
    </row>
    <row r="440" spans="1:9" ht="12.75">
      <c r="A440" s="40" t="s">
        <v>1322</v>
      </c>
      <c r="I440" s="162">
        <f t="shared" si="55"/>
      </c>
    </row>
    <row r="441" spans="2:9" ht="12.75">
      <c r="B441" s="293"/>
      <c r="C441" s="19">
        <f aca="true" t="shared" si="57" ref="C441:C447">IF(OR($A441=0,$A441=""),"",VLOOKUP($A441,codes,2,FALSE))</f>
      </c>
      <c r="I441" s="162">
        <f t="shared" si="55"/>
      </c>
    </row>
    <row r="442" spans="2:9" ht="12.75">
      <c r="B442" s="293"/>
      <c r="C442" s="19">
        <f t="shared" si="57"/>
      </c>
      <c r="I442" s="162">
        <f t="shared" si="55"/>
      </c>
    </row>
    <row r="443" spans="2:9" ht="12.75">
      <c r="B443" s="293"/>
      <c r="C443" s="19">
        <f t="shared" si="57"/>
      </c>
      <c r="I443" s="162">
        <f t="shared" si="55"/>
      </c>
    </row>
    <row r="444" spans="2:9" ht="12.75">
      <c r="B444" s="293"/>
      <c r="C444" s="19">
        <f t="shared" si="57"/>
      </c>
      <c r="I444" s="162">
        <f t="shared" si="55"/>
      </c>
    </row>
    <row r="445" spans="3:9" ht="12.75">
      <c r="C445" s="19">
        <f t="shared" si="57"/>
      </c>
      <c r="I445" s="162">
        <f t="shared" si="55"/>
      </c>
    </row>
    <row r="446" spans="3:9" ht="12.75">
      <c r="C446" s="19">
        <f t="shared" si="57"/>
      </c>
      <c r="I446" s="162">
        <f t="shared" si="55"/>
      </c>
    </row>
    <row r="447" spans="3:9" ht="12.75">
      <c r="C447" s="19">
        <f t="shared" si="57"/>
      </c>
      <c r="I447" s="162">
        <f t="shared" si="55"/>
      </c>
    </row>
    <row r="448" spans="1:9" ht="12.75">
      <c r="A448" s="40" t="s">
        <v>1323</v>
      </c>
      <c r="I448" s="162">
        <f t="shared" si="55"/>
      </c>
    </row>
    <row r="449" spans="1:9" ht="12.75">
      <c r="A449" s="19">
        <v>11</v>
      </c>
      <c r="B449" s="293" t="s">
        <v>1324</v>
      </c>
      <c r="C449" s="19" t="str">
        <f aca="true" t="shared" si="58" ref="C449:C455">IF(OR($A449=0,$A449=""),"",VLOOKUP($A449,codes,2,FALSE))</f>
        <v>WOK</v>
      </c>
      <c r="G449" s="41" t="s">
        <v>941</v>
      </c>
      <c r="I449" s="162"/>
    </row>
    <row r="450" spans="1:9" ht="12.75">
      <c r="A450" s="19">
        <v>9</v>
      </c>
      <c r="B450" s="293" t="s">
        <v>1325</v>
      </c>
      <c r="C450" s="19" t="str">
        <f t="shared" si="58"/>
        <v>W&amp;M</v>
      </c>
      <c r="G450" s="18">
        <v>7</v>
      </c>
      <c r="H450" s="41" t="s">
        <v>942</v>
      </c>
      <c r="I450" s="162" t="str">
        <f aca="true" t="shared" si="59" ref="I450:I458">IF(OR($G450=0,$G450=""),"",VLOOKUP($G450,codes,2,FALSE))</f>
        <v>SL</v>
      </c>
    </row>
    <row r="451" spans="2:9" ht="12.75">
      <c r="B451" s="293"/>
      <c r="C451" s="19">
        <f t="shared" si="58"/>
      </c>
      <c r="H451" s="41"/>
      <c r="I451" s="162">
        <f t="shared" si="59"/>
      </c>
    </row>
    <row r="452" spans="2:9" ht="12.75">
      <c r="B452" s="293"/>
      <c r="C452" s="19">
        <f t="shared" si="58"/>
      </c>
      <c r="H452" s="41"/>
      <c r="I452" s="162">
        <f t="shared" si="59"/>
      </c>
    </row>
    <row r="453" spans="2:9" ht="12.75">
      <c r="B453" s="293"/>
      <c r="C453" s="19">
        <f t="shared" si="58"/>
      </c>
      <c r="H453" s="41"/>
      <c r="I453" s="162">
        <f t="shared" si="59"/>
      </c>
    </row>
    <row r="454" spans="2:9" ht="12.75">
      <c r="B454" s="293"/>
      <c r="C454" s="19">
        <f t="shared" si="58"/>
      </c>
      <c r="I454" s="162">
        <f t="shared" si="59"/>
      </c>
    </row>
    <row r="455" spans="3:9" ht="12.75">
      <c r="C455" s="19">
        <f t="shared" si="58"/>
      </c>
      <c r="I455" s="162">
        <f t="shared" si="59"/>
      </c>
    </row>
    <row r="456" spans="1:9" ht="12.75">
      <c r="A456" s="19" t="s">
        <v>99</v>
      </c>
      <c r="I456" s="162">
        <f t="shared" si="59"/>
      </c>
    </row>
    <row r="457" spans="1:9" ht="12.75">
      <c r="A457" s="40" t="s">
        <v>1326</v>
      </c>
      <c r="I457" s="162">
        <f t="shared" si="59"/>
      </c>
    </row>
    <row r="458" spans="1:9" ht="12.75">
      <c r="A458" s="19">
        <v>1</v>
      </c>
      <c r="B458" s="19" t="s">
        <v>1327</v>
      </c>
      <c r="C458" s="19" t="str">
        <f aca="true" t="shared" si="60" ref="C458:C466">IF(OR($A458=0,$A458=""),"",VLOOKUP($A458,codes,2,FALSE))</f>
        <v>BRK</v>
      </c>
      <c r="I458" s="162">
        <f t="shared" si="59"/>
      </c>
    </row>
    <row r="459" spans="1:9" ht="12.75">
      <c r="A459" s="19">
        <v>2</v>
      </c>
      <c r="B459" s="293" t="s">
        <v>1420</v>
      </c>
      <c r="C459" s="19" t="str">
        <f t="shared" si="60"/>
        <v>BRK</v>
      </c>
      <c r="G459" s="18" t="s">
        <v>109</v>
      </c>
      <c r="I459" s="162"/>
    </row>
    <row r="460" spans="1:9" ht="12.75">
      <c r="A460" s="19">
        <v>3</v>
      </c>
      <c r="B460" s="293" t="s">
        <v>1328</v>
      </c>
      <c r="C460" s="19" t="str">
        <f t="shared" si="60"/>
        <v>WB</v>
      </c>
      <c r="G460" s="18" t="s">
        <v>110</v>
      </c>
      <c r="I460" s="162"/>
    </row>
    <row r="461" spans="1:9" ht="12.75">
      <c r="A461" s="40">
        <v>4</v>
      </c>
      <c r="B461" s="293" t="s">
        <v>1329</v>
      </c>
      <c r="C461" s="19" t="str">
        <f t="shared" si="60"/>
        <v>WB</v>
      </c>
      <c r="G461" s="41" t="s">
        <v>943</v>
      </c>
      <c r="I461" s="162"/>
    </row>
    <row r="462" spans="1:9" ht="12.75">
      <c r="A462" s="19">
        <v>9</v>
      </c>
      <c r="B462" s="293" t="s">
        <v>1330</v>
      </c>
      <c r="C462" s="19" t="str">
        <f t="shared" si="60"/>
        <v>W&amp;M</v>
      </c>
      <c r="G462" s="18">
        <v>1</v>
      </c>
      <c r="H462" s="41" t="s">
        <v>944</v>
      </c>
      <c r="I462" s="162" t="str">
        <f aca="true" t="shared" si="61" ref="I462:I485">IF(OR($G462=0,$G462=""),"",VLOOKUP($G462,codes,2,FALSE))</f>
        <v>BRK</v>
      </c>
    </row>
    <row r="463" spans="1:9" ht="12.75">
      <c r="A463" s="19">
        <v>12</v>
      </c>
      <c r="B463" s="293" t="s">
        <v>1331</v>
      </c>
      <c r="C463" s="19" t="str">
        <f t="shared" si="60"/>
        <v>WOK</v>
      </c>
      <c r="G463" s="18">
        <v>3</v>
      </c>
      <c r="H463" s="41" t="s">
        <v>945</v>
      </c>
      <c r="I463" s="162" t="str">
        <f t="shared" si="61"/>
        <v>WB</v>
      </c>
    </row>
    <row r="464" spans="1:9" ht="12.75">
      <c r="A464" s="19">
        <v>11</v>
      </c>
      <c r="B464" s="293" t="s">
        <v>1332</v>
      </c>
      <c r="C464" s="19" t="str">
        <f t="shared" si="60"/>
        <v>WOK</v>
      </c>
      <c r="G464" s="18">
        <v>4</v>
      </c>
      <c r="H464" s="41" t="s">
        <v>946</v>
      </c>
      <c r="I464" s="162" t="str">
        <f t="shared" si="61"/>
        <v>WB</v>
      </c>
    </row>
    <row r="465" spans="1:9" ht="12.75">
      <c r="A465" s="19">
        <v>10</v>
      </c>
      <c r="B465" s="40" t="s">
        <v>1333</v>
      </c>
      <c r="C465" s="19" t="str">
        <f t="shared" si="60"/>
        <v>W&amp;M</v>
      </c>
      <c r="G465" s="18">
        <v>5</v>
      </c>
      <c r="H465" s="41" t="s">
        <v>947</v>
      </c>
      <c r="I465" s="162" t="str">
        <f t="shared" si="61"/>
        <v>RDG</v>
      </c>
    </row>
    <row r="466" spans="2:9" ht="12.75">
      <c r="B466" s="40"/>
      <c r="C466" s="19">
        <f t="shared" si="60"/>
      </c>
      <c r="G466" s="18">
        <v>7</v>
      </c>
      <c r="H466" s="41" t="s">
        <v>948</v>
      </c>
      <c r="I466" s="162" t="str">
        <f t="shared" si="61"/>
        <v>SL</v>
      </c>
    </row>
    <row r="467" spans="2:9" ht="12.75">
      <c r="B467" s="40"/>
      <c r="G467" s="18">
        <v>9</v>
      </c>
      <c r="H467" s="41" t="s">
        <v>949</v>
      </c>
      <c r="I467" s="162" t="str">
        <f t="shared" si="61"/>
        <v>W&amp;M</v>
      </c>
    </row>
    <row r="468" spans="1:9" ht="12.75">
      <c r="A468" s="19" t="s">
        <v>100</v>
      </c>
      <c r="G468" s="18">
        <v>10</v>
      </c>
      <c r="H468" s="41" t="s">
        <v>950</v>
      </c>
      <c r="I468" s="162" t="str">
        <f t="shared" si="61"/>
        <v>W&amp;M</v>
      </c>
    </row>
    <row r="469" spans="1:9" ht="12.75">
      <c r="A469" s="40" t="s">
        <v>1334</v>
      </c>
      <c r="G469" s="18">
        <v>11</v>
      </c>
      <c r="H469" s="41" t="s">
        <v>951</v>
      </c>
      <c r="I469" s="162" t="str">
        <f t="shared" si="61"/>
        <v>WOK</v>
      </c>
    </row>
    <row r="470" spans="1:9" ht="12.75">
      <c r="A470" s="19">
        <v>3</v>
      </c>
      <c r="B470" s="293" t="s">
        <v>1335</v>
      </c>
      <c r="C470" s="19" t="str">
        <f aca="true" t="shared" si="62" ref="C470:C480">IF(OR($A470=0,$A470=""),"",VLOOKUP($A470,codes,2,FALSE))</f>
        <v>WB</v>
      </c>
      <c r="G470" s="18">
        <v>12</v>
      </c>
      <c r="H470" s="41" t="s">
        <v>952</v>
      </c>
      <c r="I470" s="162" t="str">
        <f t="shared" si="61"/>
        <v>WOK</v>
      </c>
    </row>
    <row r="471" spans="2:9" ht="12.75">
      <c r="B471" s="293"/>
      <c r="C471" s="19">
        <f t="shared" si="62"/>
      </c>
      <c r="H471" s="41"/>
      <c r="I471" s="162">
        <f t="shared" si="61"/>
      </c>
    </row>
    <row r="472" spans="2:9" ht="12.75">
      <c r="B472" s="40"/>
      <c r="C472" s="19">
        <f t="shared" si="62"/>
      </c>
      <c r="H472" s="41"/>
      <c r="I472" s="162">
        <f t="shared" si="61"/>
      </c>
    </row>
    <row r="473" spans="2:9" ht="12.75">
      <c r="B473" s="40"/>
      <c r="C473" s="19">
        <f t="shared" si="62"/>
      </c>
      <c r="I473" s="162">
        <f t="shared" si="61"/>
      </c>
    </row>
    <row r="474" spans="3:9" ht="12.75">
      <c r="C474" s="19">
        <f t="shared" si="62"/>
      </c>
      <c r="I474" s="162">
        <f t="shared" si="61"/>
      </c>
    </row>
    <row r="475" spans="3:9" ht="12.75">
      <c r="C475" s="19">
        <f t="shared" si="62"/>
      </c>
      <c r="I475" s="162">
        <f t="shared" si="61"/>
      </c>
    </row>
    <row r="476" spans="3:9" ht="12.75">
      <c r="C476" s="19">
        <f t="shared" si="62"/>
      </c>
      <c r="I476" s="162">
        <f t="shared" si="61"/>
      </c>
    </row>
    <row r="477" spans="3:9" ht="12.75">
      <c r="C477" s="19">
        <f t="shared" si="62"/>
      </c>
      <c r="I477" s="162">
        <f t="shared" si="61"/>
      </c>
    </row>
    <row r="478" spans="3:9" ht="12.75">
      <c r="C478" s="19">
        <f t="shared" si="62"/>
      </c>
      <c r="I478" s="162">
        <f t="shared" si="61"/>
      </c>
    </row>
    <row r="479" spans="3:9" ht="12.75">
      <c r="C479" s="19">
        <f t="shared" si="62"/>
      </c>
      <c r="I479" s="162">
        <f t="shared" si="61"/>
      </c>
    </row>
    <row r="480" spans="3:9" ht="12.75">
      <c r="C480" s="19">
        <f t="shared" si="62"/>
      </c>
      <c r="I480" s="162">
        <f t="shared" si="61"/>
      </c>
    </row>
    <row r="481" spans="1:9" ht="12.75">
      <c r="A481" s="40" t="s">
        <v>1346</v>
      </c>
      <c r="I481" s="162">
        <f t="shared" si="61"/>
      </c>
    </row>
    <row r="482" spans="1:9" ht="12.75">
      <c r="A482" s="19">
        <v>1</v>
      </c>
      <c r="B482" s="293" t="s">
        <v>1336</v>
      </c>
      <c r="C482" s="19" t="str">
        <f aca="true" t="shared" si="63" ref="C482:C495">IF(OR($A482=0,$A482=""),"",VLOOKUP($A482,codes,2,FALSE))</f>
        <v>BRK</v>
      </c>
      <c r="I482" s="162">
        <f t="shared" si="61"/>
      </c>
    </row>
    <row r="483" spans="2:9" ht="12.75">
      <c r="B483" s="293"/>
      <c r="C483" s="19">
        <f t="shared" si="63"/>
      </c>
      <c r="I483" s="162">
        <f t="shared" si="61"/>
      </c>
    </row>
    <row r="484" spans="1:9" ht="12.75">
      <c r="A484" s="19">
        <v>3</v>
      </c>
      <c r="B484" s="293" t="s">
        <v>1337</v>
      </c>
      <c r="C484" s="19" t="str">
        <f t="shared" si="63"/>
        <v>WB</v>
      </c>
      <c r="I484" s="162">
        <f t="shared" si="61"/>
      </c>
    </row>
    <row r="485" spans="1:9" ht="12.75">
      <c r="A485" s="19">
        <v>4</v>
      </c>
      <c r="B485" s="293" t="s">
        <v>1338</v>
      </c>
      <c r="C485" s="19" t="str">
        <f t="shared" si="63"/>
        <v>WB</v>
      </c>
      <c r="I485" s="162">
        <f t="shared" si="61"/>
      </c>
    </row>
    <row r="486" spans="1:9" ht="12.75">
      <c r="A486" s="40">
        <v>2</v>
      </c>
      <c r="B486" s="293" t="s">
        <v>1339</v>
      </c>
      <c r="C486" s="19" t="str">
        <f t="shared" si="63"/>
        <v>BRK</v>
      </c>
      <c r="G486" s="41" t="s">
        <v>953</v>
      </c>
      <c r="I486" s="162"/>
    </row>
    <row r="487" spans="1:9" ht="12.75">
      <c r="A487" s="40">
        <v>8</v>
      </c>
      <c r="B487" s="293" t="s">
        <v>1340</v>
      </c>
      <c r="C487" s="19" t="str">
        <f t="shared" si="63"/>
        <v>SL</v>
      </c>
      <c r="G487" s="18">
        <v>5</v>
      </c>
      <c r="H487" s="41" t="s">
        <v>954</v>
      </c>
      <c r="I487" s="162" t="str">
        <f aca="true" t="shared" si="64" ref="I487:I495">IF(OR($G487=0,$G487=""),"",VLOOKUP($G487,codes,2,FALSE))</f>
        <v>RDG</v>
      </c>
    </row>
    <row r="488" spans="1:9" ht="12.75">
      <c r="A488" s="19">
        <v>7</v>
      </c>
      <c r="B488" s="293" t="s">
        <v>1341</v>
      </c>
      <c r="C488" s="19" t="str">
        <f t="shared" si="63"/>
        <v>SL</v>
      </c>
      <c r="G488" s="18">
        <v>11</v>
      </c>
      <c r="H488" s="41" t="s">
        <v>955</v>
      </c>
      <c r="I488" s="162" t="str">
        <f t="shared" si="64"/>
        <v>WOK</v>
      </c>
    </row>
    <row r="489" spans="1:9" ht="12.75">
      <c r="A489" s="19">
        <v>9</v>
      </c>
      <c r="B489" s="293" t="s">
        <v>1342</v>
      </c>
      <c r="C489" s="19" t="str">
        <f t="shared" si="63"/>
        <v>W&amp;M</v>
      </c>
      <c r="G489" s="18">
        <v>12</v>
      </c>
      <c r="H489" s="41" t="s">
        <v>956</v>
      </c>
      <c r="I489" s="162" t="str">
        <f t="shared" si="64"/>
        <v>WOK</v>
      </c>
    </row>
    <row r="490" spans="1:9" ht="12.75">
      <c r="A490" s="19">
        <v>10</v>
      </c>
      <c r="B490" s="293" t="s">
        <v>1343</v>
      </c>
      <c r="C490" s="19" t="str">
        <f t="shared" si="63"/>
        <v>W&amp;M</v>
      </c>
      <c r="H490" s="41"/>
      <c r="I490" s="162">
        <f t="shared" si="64"/>
      </c>
    </row>
    <row r="491" spans="1:9" ht="12.75">
      <c r="A491" s="19">
        <v>11</v>
      </c>
      <c r="B491" s="293" t="s">
        <v>1344</v>
      </c>
      <c r="C491" s="19" t="str">
        <f t="shared" si="63"/>
        <v>WOK</v>
      </c>
      <c r="I491" s="162">
        <f t="shared" si="64"/>
      </c>
    </row>
    <row r="492" spans="1:9" ht="12.75">
      <c r="A492" s="19">
        <v>12</v>
      </c>
      <c r="B492" s="293" t="s">
        <v>1345</v>
      </c>
      <c r="C492" s="19" t="str">
        <f t="shared" si="63"/>
        <v>WOK</v>
      </c>
      <c r="I492" s="162">
        <f t="shared" si="64"/>
      </c>
    </row>
    <row r="493" spans="2:9" ht="12.75">
      <c r="B493" s="293"/>
      <c r="C493" s="19">
        <f t="shared" si="63"/>
      </c>
      <c r="I493" s="162">
        <f t="shared" si="64"/>
      </c>
    </row>
    <row r="494" spans="3:9" ht="12.75">
      <c r="C494" s="19">
        <f t="shared" si="63"/>
      </c>
      <c r="I494" s="162">
        <f t="shared" si="64"/>
      </c>
    </row>
    <row r="495" spans="3:9" ht="12.75">
      <c r="C495" s="19">
        <f t="shared" si="63"/>
      </c>
      <c r="I495" s="162">
        <f t="shared" si="64"/>
      </c>
    </row>
    <row r="496" spans="1:9" ht="12.75">
      <c r="A496" s="19" t="s">
        <v>94</v>
      </c>
      <c r="G496" s="41" t="s">
        <v>957</v>
      </c>
      <c r="I496" s="162"/>
    </row>
    <row r="497" spans="1:9" ht="12.75">
      <c r="A497" s="19" t="s">
        <v>101</v>
      </c>
      <c r="G497" s="18">
        <v>1</v>
      </c>
      <c r="H497" s="41" t="s">
        <v>958</v>
      </c>
      <c r="I497" s="162" t="str">
        <f aca="true" t="shared" si="65" ref="I497:I520">IF(OR($G497=0,$G497=""),"",VLOOKUP($G497,codes,2,FALSE))</f>
        <v>BRK</v>
      </c>
    </row>
    <row r="498" spans="1:9" ht="12.75">
      <c r="A498" s="40" t="s">
        <v>1347</v>
      </c>
      <c r="G498" s="18">
        <v>2</v>
      </c>
      <c r="H498" s="41" t="s">
        <v>959</v>
      </c>
      <c r="I498" s="162" t="str">
        <f t="shared" si="65"/>
        <v>BRK</v>
      </c>
    </row>
    <row r="499" spans="1:9" ht="12.75">
      <c r="A499" s="19">
        <v>5</v>
      </c>
      <c r="B499" s="293" t="s">
        <v>1348</v>
      </c>
      <c r="C499" s="19" t="str">
        <f aca="true" t="shared" si="66" ref="C499:C506">IF(OR($A499=0,$A499=""),"",VLOOKUP($A499,codes,2,FALSE))</f>
        <v>RDG</v>
      </c>
      <c r="G499" s="18">
        <v>3</v>
      </c>
      <c r="H499" s="41" t="s">
        <v>960</v>
      </c>
      <c r="I499" s="162" t="str">
        <f t="shared" si="65"/>
        <v>WB</v>
      </c>
    </row>
    <row r="500" spans="1:9" ht="12.75">
      <c r="A500" s="19">
        <v>7</v>
      </c>
      <c r="B500" s="293" t="s">
        <v>1349</v>
      </c>
      <c r="C500" s="19" t="str">
        <f t="shared" si="66"/>
        <v>SL</v>
      </c>
      <c r="G500" s="18">
        <v>4</v>
      </c>
      <c r="H500" s="41" t="s">
        <v>961</v>
      </c>
      <c r="I500" s="162" t="str">
        <f t="shared" si="65"/>
        <v>WB</v>
      </c>
    </row>
    <row r="501" spans="1:9" ht="12.75">
      <c r="A501" s="19">
        <v>11</v>
      </c>
      <c r="B501" s="293" t="s">
        <v>1350</v>
      </c>
      <c r="C501" s="19" t="str">
        <f t="shared" si="66"/>
        <v>WOK</v>
      </c>
      <c r="G501" s="18">
        <v>5</v>
      </c>
      <c r="H501" s="41" t="s">
        <v>962</v>
      </c>
      <c r="I501" s="162" t="str">
        <f t="shared" si="65"/>
        <v>RDG</v>
      </c>
    </row>
    <row r="502" spans="1:9" ht="12.75">
      <c r="A502" s="19">
        <v>6</v>
      </c>
      <c r="B502" s="293" t="s">
        <v>1351</v>
      </c>
      <c r="C502" s="19" t="str">
        <f t="shared" si="66"/>
        <v>RDG</v>
      </c>
      <c r="G502" s="18">
        <v>9</v>
      </c>
      <c r="H502" s="41" t="s">
        <v>963</v>
      </c>
      <c r="I502" s="162" t="str">
        <f t="shared" si="65"/>
        <v>W&amp;M</v>
      </c>
    </row>
    <row r="503" spans="1:9" ht="12.75">
      <c r="A503" s="19">
        <v>9</v>
      </c>
      <c r="B503" s="293" t="s">
        <v>1352</v>
      </c>
      <c r="C503" s="19" t="str">
        <f t="shared" si="66"/>
        <v>W&amp;M</v>
      </c>
      <c r="G503" s="18">
        <v>10</v>
      </c>
      <c r="H503" s="41" t="s">
        <v>964</v>
      </c>
      <c r="I503" s="162" t="str">
        <f t="shared" si="65"/>
        <v>W&amp;M</v>
      </c>
    </row>
    <row r="504" spans="1:9" ht="12.75">
      <c r="A504" s="19">
        <v>10</v>
      </c>
      <c r="B504" s="293" t="s">
        <v>1353</v>
      </c>
      <c r="C504" s="19" t="str">
        <f t="shared" si="66"/>
        <v>W&amp;M</v>
      </c>
      <c r="G504" s="18">
        <v>11</v>
      </c>
      <c r="H504" s="41" t="s">
        <v>965</v>
      </c>
      <c r="I504" s="162" t="str">
        <f t="shared" si="65"/>
        <v>WOK</v>
      </c>
    </row>
    <row r="505" spans="1:9" ht="12.75">
      <c r="A505" s="19">
        <v>8</v>
      </c>
      <c r="B505" s="296" t="s">
        <v>1390</v>
      </c>
      <c r="C505" s="19" t="str">
        <f t="shared" si="66"/>
        <v>SL</v>
      </c>
      <c r="G505" s="41">
        <v>12</v>
      </c>
      <c r="H505" s="41" t="s">
        <v>966</v>
      </c>
      <c r="I505" s="162" t="str">
        <f t="shared" si="65"/>
        <v>WOK</v>
      </c>
    </row>
    <row r="506" spans="3:9" ht="12.75">
      <c r="C506" s="19">
        <f t="shared" si="66"/>
      </c>
      <c r="H506" s="41"/>
      <c r="I506" s="162">
        <f t="shared" si="65"/>
      </c>
    </row>
    <row r="507" spans="1:9" ht="12.75">
      <c r="A507" s="19" t="s">
        <v>99</v>
      </c>
      <c r="H507" s="41"/>
      <c r="I507" s="162">
        <f t="shared" si="65"/>
      </c>
    </row>
    <row r="508" spans="3:9" ht="12.75">
      <c r="C508" s="19">
        <f>IF(OR($A508=0,$A508=""),"",VLOOKUP($A508,codes,2,FALSE))</f>
      </c>
      <c r="H508" s="41"/>
      <c r="I508" s="162">
        <f t="shared" si="65"/>
      </c>
    </row>
    <row r="509" spans="1:9" ht="12.75">
      <c r="A509" s="40" t="s">
        <v>1354</v>
      </c>
      <c r="I509" s="162">
        <f t="shared" si="65"/>
      </c>
    </row>
    <row r="510" spans="1:9" ht="12.75">
      <c r="A510" s="19">
        <v>11</v>
      </c>
      <c r="B510" s="293" t="s">
        <v>1355</v>
      </c>
      <c r="C510" s="19" t="str">
        <f>IF(OR($A510=0,$A510=""),"",VLOOKUP($A510,codes,2,FALSE))</f>
        <v>WOK</v>
      </c>
      <c r="I510" s="162">
        <f t="shared" si="65"/>
      </c>
    </row>
    <row r="511" spans="1:9" ht="12.75">
      <c r="A511" s="19">
        <v>5</v>
      </c>
      <c r="B511" s="40" t="s">
        <v>1356</v>
      </c>
      <c r="C511" s="19" t="str">
        <f>IF(OR($A511=0,$A511=""),"",VLOOKUP($A511,codes,2,FALSE))</f>
        <v>RDG</v>
      </c>
      <c r="I511" s="162">
        <f t="shared" si="65"/>
      </c>
    </row>
    <row r="512" spans="1:9" ht="12.75">
      <c r="A512" s="19">
        <v>9</v>
      </c>
      <c r="B512" s="40" t="s">
        <v>1357</v>
      </c>
      <c r="C512" s="19" t="str">
        <f>IF(OR($A512=0,$A512=""),"",VLOOKUP($A512,codes,2,FALSE))</f>
        <v>W&amp;M</v>
      </c>
      <c r="I512" s="162">
        <f t="shared" si="65"/>
      </c>
    </row>
    <row r="513" spans="1:9" ht="12.75">
      <c r="A513" s="40">
        <v>12</v>
      </c>
      <c r="B513" s="40" t="s">
        <v>1358</v>
      </c>
      <c r="C513" s="19" t="str">
        <f>IF(OR($A513=0,$A513=""),"",VLOOKUP($A513,codes,2,FALSE))</f>
        <v>WOK</v>
      </c>
      <c r="I513" s="162">
        <f t="shared" si="65"/>
      </c>
    </row>
    <row r="514" spans="1:9" ht="12.75">
      <c r="A514" s="40">
        <v>13</v>
      </c>
      <c r="B514" s="40" t="s">
        <v>1359</v>
      </c>
      <c r="C514" s="40" t="s">
        <v>1360</v>
      </c>
      <c r="I514" s="162">
        <f t="shared" si="65"/>
      </c>
    </row>
    <row r="515" spans="1:9" ht="12.75">
      <c r="A515" s="19" t="s">
        <v>102</v>
      </c>
      <c r="I515" s="162">
        <f t="shared" si="65"/>
      </c>
    </row>
    <row r="516" spans="1:9" ht="12.75">
      <c r="A516" s="40" t="s">
        <v>1361</v>
      </c>
      <c r="I516" s="162">
        <f t="shared" si="65"/>
      </c>
    </row>
    <row r="517" spans="1:9" ht="12.75">
      <c r="A517" s="19">
        <v>9</v>
      </c>
      <c r="B517" s="293" t="s">
        <v>1362</v>
      </c>
      <c r="C517" s="19" t="str">
        <f>IF(OR($A517=0,$A517=""),"",VLOOKUP($A517,codes,2,FALSE))</f>
        <v>W&amp;M</v>
      </c>
      <c r="I517" s="162">
        <f t="shared" si="65"/>
      </c>
    </row>
    <row r="518" spans="1:9" ht="12.75">
      <c r="A518" s="19">
        <v>10</v>
      </c>
      <c r="B518" s="293" t="s">
        <v>1363</v>
      </c>
      <c r="C518" s="19" t="str">
        <f>IF(OR($A518=0,$A518=""),"",VLOOKUP($A518,codes,2,FALSE))</f>
        <v>W&amp;M</v>
      </c>
      <c r="I518" s="162">
        <f t="shared" si="65"/>
      </c>
    </row>
    <row r="519" spans="1:9" ht="12.75">
      <c r="A519" s="19">
        <v>5</v>
      </c>
      <c r="B519" s="293" t="s">
        <v>1364</v>
      </c>
      <c r="C519" s="19" t="str">
        <f>IF(OR($A519=0,$A519=""),"",VLOOKUP($A519,codes,2,FALSE))</f>
        <v>RDG</v>
      </c>
      <c r="I519" s="162">
        <f t="shared" si="65"/>
      </c>
    </row>
    <row r="520" spans="1:9" ht="12.75">
      <c r="A520" s="19">
        <v>7</v>
      </c>
      <c r="B520" s="40" t="s">
        <v>1365</v>
      </c>
      <c r="C520" s="19" t="str">
        <f>IF(OR($A520=0,$A520=""),"",VLOOKUP($A520,codes,2,FALSE))</f>
        <v>SL</v>
      </c>
      <c r="I520" s="162">
        <f t="shared" si="65"/>
      </c>
    </row>
    <row r="521" spans="1:9" ht="12.75">
      <c r="A521" s="19">
        <v>13</v>
      </c>
      <c r="B521" s="19" t="s">
        <v>1366</v>
      </c>
      <c r="C521" s="19" t="s">
        <v>1360</v>
      </c>
      <c r="G521" s="41" t="s">
        <v>967</v>
      </c>
      <c r="I521" s="162"/>
    </row>
    <row r="522" spans="7:9" ht="12.75">
      <c r="G522" s="18">
        <v>1</v>
      </c>
      <c r="H522" s="41" t="s">
        <v>968</v>
      </c>
      <c r="I522" s="162" t="str">
        <f aca="true" t="shared" si="67" ref="I522:I535">IF(OR($G522=0,$G522=""),"",VLOOKUP($G522,codes,2,FALSE))</f>
        <v>BRK</v>
      </c>
    </row>
    <row r="523" spans="1:9" ht="12.75">
      <c r="A523" s="40" t="s">
        <v>1367</v>
      </c>
      <c r="G523" s="18">
        <v>2</v>
      </c>
      <c r="H523" s="41" t="s">
        <v>969</v>
      </c>
      <c r="I523" s="162" t="str">
        <f t="shared" si="67"/>
        <v>BRK</v>
      </c>
    </row>
    <row r="524" spans="1:9" ht="12.75">
      <c r="A524" s="40"/>
      <c r="B524" s="40"/>
      <c r="G524" s="18">
        <v>3</v>
      </c>
      <c r="H524" s="41" t="s">
        <v>970</v>
      </c>
      <c r="I524" s="162" t="str">
        <f t="shared" si="67"/>
        <v>WB</v>
      </c>
    </row>
    <row r="525" spans="1:9" ht="12.75">
      <c r="A525" s="19">
        <v>5</v>
      </c>
      <c r="B525" s="293" t="s">
        <v>1368</v>
      </c>
      <c r="C525" s="19" t="str">
        <f>IF(OR($A525=0,$A525=""),"",VLOOKUP($A525,codes,2,FALSE))</f>
        <v>RDG</v>
      </c>
      <c r="G525" s="18">
        <v>4</v>
      </c>
      <c r="H525" s="41" t="s">
        <v>971</v>
      </c>
      <c r="I525" s="162" t="str">
        <f t="shared" si="67"/>
        <v>WB</v>
      </c>
    </row>
    <row r="526" spans="1:9" ht="12.75">
      <c r="A526" s="19">
        <v>9</v>
      </c>
      <c r="B526" s="293" t="s">
        <v>1369</v>
      </c>
      <c r="C526" s="19" t="str">
        <f>IF(OR($A526=0,$A526=""),"",VLOOKUP($A526,codes,2,FALSE))</f>
        <v>W&amp;M</v>
      </c>
      <c r="G526" s="18">
        <v>5</v>
      </c>
      <c r="H526" s="41" t="s">
        <v>972</v>
      </c>
      <c r="I526" s="162" t="str">
        <f t="shared" si="67"/>
        <v>RDG</v>
      </c>
    </row>
    <row r="527" spans="2:9" ht="12.75">
      <c r="B527" s="293"/>
      <c r="C527" s="19">
        <f>IF(OR($A527=0,$A527=""),"",VLOOKUP($A527,codes,2,FALSE))</f>
      </c>
      <c r="G527" s="18">
        <v>6</v>
      </c>
      <c r="H527" s="41" t="s">
        <v>973</v>
      </c>
      <c r="I527" s="162" t="str">
        <f t="shared" si="67"/>
        <v>RDG</v>
      </c>
    </row>
    <row r="528" spans="2:9" ht="12.75">
      <c r="B528" s="293"/>
      <c r="C528" s="19">
        <f>IF(OR($A528=0,$A528=""),"",VLOOKUP($A528,codes,2,FALSE))</f>
      </c>
      <c r="G528" s="18">
        <v>9</v>
      </c>
      <c r="H528" s="41" t="s">
        <v>974</v>
      </c>
      <c r="I528" s="162" t="str">
        <f t="shared" si="67"/>
        <v>W&amp;M</v>
      </c>
    </row>
    <row r="529" spans="2:9" ht="12.75">
      <c r="B529" s="293"/>
      <c r="G529" s="18">
        <v>10</v>
      </c>
      <c r="H529" s="41" t="s">
        <v>975</v>
      </c>
      <c r="I529" s="162" t="str">
        <f t="shared" si="67"/>
        <v>W&amp;M</v>
      </c>
    </row>
    <row r="530" spans="1:9" ht="12.75">
      <c r="A530" s="40"/>
      <c r="G530" s="18">
        <v>11</v>
      </c>
      <c r="H530" s="41" t="s">
        <v>976</v>
      </c>
      <c r="I530" s="162" t="str">
        <f t="shared" si="67"/>
        <v>WOK</v>
      </c>
    </row>
    <row r="531" spans="2:9" ht="12.75">
      <c r="B531" s="293"/>
      <c r="G531" s="18">
        <v>12</v>
      </c>
      <c r="H531" s="41" t="s">
        <v>977</v>
      </c>
      <c r="I531" s="162" t="str">
        <f t="shared" si="67"/>
        <v>WOK</v>
      </c>
    </row>
    <row r="532" spans="2:9" ht="12.75">
      <c r="B532" s="40"/>
      <c r="C532" s="19">
        <f aca="true" t="shared" si="68" ref="C532:C537">IF(OR($A532=0,$A532=""),"",VLOOKUP($A532,codes,2,FALSE))</f>
      </c>
      <c r="H532" s="41"/>
      <c r="I532" s="162">
        <f t="shared" si="67"/>
      </c>
    </row>
    <row r="533" spans="1:9" ht="12.75">
      <c r="A533" s="40" t="s">
        <v>1370</v>
      </c>
      <c r="I533" s="162">
        <f t="shared" si="67"/>
      </c>
    </row>
    <row r="534" spans="1:9" ht="12.75">
      <c r="A534" s="19">
        <v>3</v>
      </c>
      <c r="B534" s="293" t="s">
        <v>1371</v>
      </c>
      <c r="C534" s="19" t="str">
        <f t="shared" si="68"/>
        <v>WB</v>
      </c>
      <c r="I534" s="162">
        <f t="shared" si="67"/>
      </c>
    </row>
    <row r="535" spans="1:9" ht="12.75">
      <c r="A535" s="19">
        <v>11</v>
      </c>
      <c r="B535" s="293" t="s">
        <v>1372</v>
      </c>
      <c r="C535" s="19" t="str">
        <f t="shared" si="68"/>
        <v>WOK</v>
      </c>
      <c r="I535" s="162">
        <f t="shared" si="67"/>
      </c>
    </row>
    <row r="536" spans="2:9" ht="12.75">
      <c r="B536" s="293"/>
      <c r="C536" s="19">
        <f t="shared" si="68"/>
      </c>
      <c r="G536" s="41" t="s">
        <v>978</v>
      </c>
      <c r="I536" s="162"/>
    </row>
    <row r="537" spans="3:9" ht="12.75">
      <c r="C537" s="19">
        <f t="shared" si="68"/>
      </c>
      <c r="G537" s="18">
        <v>3</v>
      </c>
      <c r="H537" s="18" t="s">
        <v>979</v>
      </c>
      <c r="I537" s="162" t="str">
        <f>IF(OR($G537=0,$G537=""),"",VLOOKUP($G537,codes,2,FALSE))</f>
        <v>WB</v>
      </c>
    </row>
    <row r="538" spans="1:9" ht="12.75">
      <c r="A538" s="19" t="s">
        <v>103</v>
      </c>
      <c r="G538" s="18">
        <v>11</v>
      </c>
      <c r="H538" s="41" t="s">
        <v>980</v>
      </c>
      <c r="I538" s="162" t="str">
        <f>IF(OR($G538=0,$G538=""),"",VLOOKUP($G538,codes,2,FALSE))</f>
        <v>WOK</v>
      </c>
    </row>
    <row r="539" spans="1:9" ht="12.75">
      <c r="A539" s="40" t="s">
        <v>1373</v>
      </c>
      <c r="I539" s="162">
        <f>IF(OR($G539=0,$G539=""),"",VLOOKUP($G539,codes,2,FALSE))</f>
      </c>
    </row>
    <row r="540" spans="1:9" ht="12.75">
      <c r="A540" s="19">
        <v>11</v>
      </c>
      <c r="B540" s="293" t="s">
        <v>1374</v>
      </c>
      <c r="C540" s="19" t="str">
        <f>IF(OR($A540=0,$A540=""),"",VLOOKUP($A540,codes,2,FALSE))</f>
        <v>WOK</v>
      </c>
      <c r="I540" s="162">
        <f>IF(OR($G540=0,$G540=""),"",VLOOKUP($G540,codes,2,FALSE))</f>
      </c>
    </row>
    <row r="541" spans="1:9" ht="12.75">
      <c r="A541" s="19">
        <v>5</v>
      </c>
      <c r="B541" s="293" t="s">
        <v>1375</v>
      </c>
      <c r="C541" s="19" t="str">
        <f>IF(OR($A541=0,$A541=""),"",VLOOKUP($A541,codes,2,FALSE))</f>
        <v>RDG</v>
      </c>
      <c r="I541" s="162">
        <f>IF(OR($G541=0,$G541=""),"",VLOOKUP($G541,codes,2,FALSE))</f>
      </c>
    </row>
    <row r="542" spans="2:9" ht="12.75">
      <c r="B542" s="293"/>
      <c r="C542" s="19">
        <f>IF(OR($A542=0,$A542=""),"",VLOOKUP($A542,codes,2,FALSE))</f>
      </c>
      <c r="G542" s="41" t="s">
        <v>981</v>
      </c>
      <c r="I542" s="162"/>
    </row>
    <row r="543" spans="2:9" ht="12.75">
      <c r="B543" s="293"/>
      <c r="C543" s="19">
        <f>IF(OR($A543=0,$A543=""),"",VLOOKUP($A543,codes,2,FALSE))</f>
      </c>
      <c r="G543" s="18">
        <v>3</v>
      </c>
      <c r="H543" s="18" t="s">
        <v>982</v>
      </c>
      <c r="I543" s="162" t="str">
        <f aca="true" t="shared" si="69" ref="I543:I569">IF(OR($G543=0,$G543=""),"",VLOOKUP($G543,codes,2,FALSE))</f>
        <v>WB</v>
      </c>
    </row>
    <row r="544" spans="3:9" ht="12.75">
      <c r="C544" s="19">
        <f>IF(OR($A544=0,$A544=""),"",VLOOKUP($A544,codes,2,FALSE))</f>
      </c>
      <c r="G544" s="18">
        <v>4</v>
      </c>
      <c r="H544" s="18" t="s">
        <v>983</v>
      </c>
      <c r="I544" s="162" t="str">
        <f t="shared" si="69"/>
        <v>WB</v>
      </c>
    </row>
    <row r="545" spans="1:9" ht="12.75">
      <c r="A545" s="19" t="s">
        <v>1376</v>
      </c>
      <c r="G545" s="18">
        <v>5</v>
      </c>
      <c r="H545" s="41" t="s">
        <v>984</v>
      </c>
      <c r="I545" s="162" t="str">
        <f t="shared" si="69"/>
        <v>RDG</v>
      </c>
    </row>
    <row r="546" spans="1:9" ht="12.75">
      <c r="A546" s="19">
        <v>3</v>
      </c>
      <c r="B546" s="293" t="s">
        <v>1377</v>
      </c>
      <c r="C546" s="19" t="str">
        <f>IF(OR($A546=0,$A546=""),"",VLOOKUP($A546,codes,2,FALSE))</f>
        <v>WB</v>
      </c>
      <c r="G546" s="18">
        <v>7</v>
      </c>
      <c r="H546" s="41" t="s">
        <v>985</v>
      </c>
      <c r="I546" s="162" t="str">
        <f t="shared" si="69"/>
        <v>SL</v>
      </c>
    </row>
    <row r="547" spans="2:9" ht="12.75">
      <c r="B547" s="40"/>
      <c r="C547" s="19">
        <f>IF(OR($A547=0,$A547=""),"",VLOOKUP($A547,codes,2,FALSE))</f>
      </c>
      <c r="G547" s="18">
        <v>9</v>
      </c>
      <c r="H547" s="41" t="s">
        <v>986</v>
      </c>
      <c r="I547" s="162" t="str">
        <f t="shared" si="69"/>
        <v>W&amp;M</v>
      </c>
    </row>
    <row r="548" spans="2:9" ht="12.75">
      <c r="B548" s="40"/>
      <c r="C548" s="19">
        <f>IF(OR($A548=0,$A548=""),"",VLOOKUP($A548,codes,2,FALSE))</f>
      </c>
      <c r="G548" s="18">
        <v>10</v>
      </c>
      <c r="H548" s="41" t="s">
        <v>987</v>
      </c>
      <c r="I548" s="162" t="str">
        <f t="shared" si="69"/>
        <v>W&amp;M</v>
      </c>
    </row>
    <row r="549" spans="7:9" ht="12.75">
      <c r="G549" s="18">
        <v>11</v>
      </c>
      <c r="H549" s="41" t="s">
        <v>988</v>
      </c>
      <c r="I549" s="162" t="str">
        <f t="shared" si="69"/>
        <v>WOK</v>
      </c>
    </row>
    <row r="550" spans="7:9" ht="12.75">
      <c r="G550" s="18">
        <v>12</v>
      </c>
      <c r="H550" s="41" t="s">
        <v>989</v>
      </c>
      <c r="I550" s="162" t="str">
        <f t="shared" si="69"/>
        <v>WOK</v>
      </c>
    </row>
    <row r="551" spans="8:9" ht="12.75">
      <c r="H551" s="41"/>
      <c r="I551" s="162">
        <f t="shared" si="69"/>
      </c>
    </row>
    <row r="552" spans="1:9" ht="12.75">
      <c r="A552" s="40" t="s">
        <v>1378</v>
      </c>
      <c r="H552" s="41"/>
      <c r="I552" s="162">
        <f t="shared" si="69"/>
      </c>
    </row>
    <row r="553" spans="1:9" ht="12.75">
      <c r="A553" s="19">
        <v>9</v>
      </c>
      <c r="B553" s="293" t="s">
        <v>1379</v>
      </c>
      <c r="C553" s="19" t="str">
        <f aca="true" t="shared" si="70" ref="C553:C558">IF(OR($A553=0,$A553=""),"",VLOOKUP($A553,codes,2,FALSE))</f>
        <v>W&amp;M</v>
      </c>
      <c r="H553" s="41"/>
      <c r="I553" s="162">
        <f t="shared" si="69"/>
      </c>
    </row>
    <row r="554" spans="1:9" ht="12.75">
      <c r="A554" s="19">
        <v>11</v>
      </c>
      <c r="B554" s="40" t="s">
        <v>1380</v>
      </c>
      <c r="C554" s="19" t="str">
        <f t="shared" si="70"/>
        <v>WOK</v>
      </c>
      <c r="H554" s="41"/>
      <c r="I554" s="162">
        <f t="shared" si="69"/>
      </c>
    </row>
    <row r="555" spans="1:9" ht="12.75">
      <c r="A555" s="19">
        <v>5</v>
      </c>
      <c r="B555" s="40" t="s">
        <v>1381</v>
      </c>
      <c r="C555" s="19" t="str">
        <f t="shared" si="70"/>
        <v>RDG</v>
      </c>
      <c r="H555" s="41"/>
      <c r="I555" s="162">
        <f t="shared" si="69"/>
      </c>
    </row>
    <row r="556" spans="1:9" ht="12.75">
      <c r="A556" s="19">
        <v>3</v>
      </c>
      <c r="B556" s="19" t="s">
        <v>1382</v>
      </c>
      <c r="C556" s="19" t="str">
        <f t="shared" si="70"/>
        <v>WB</v>
      </c>
      <c r="H556" s="41"/>
      <c r="I556" s="162"/>
    </row>
    <row r="557" spans="3:9" ht="12.75">
      <c r="C557" s="19">
        <f t="shared" si="70"/>
      </c>
      <c r="I557" s="162">
        <f t="shared" si="69"/>
      </c>
    </row>
    <row r="558" spans="3:9" ht="12.75">
      <c r="C558" s="19">
        <f t="shared" si="70"/>
      </c>
      <c r="I558" s="162">
        <f t="shared" si="69"/>
      </c>
    </row>
    <row r="559" spans="1:9" ht="12.75">
      <c r="A559" s="40" t="s">
        <v>1383</v>
      </c>
      <c r="I559" s="162">
        <f t="shared" si="69"/>
      </c>
    </row>
    <row r="560" spans="1:9" ht="12.75">
      <c r="A560" s="19">
        <v>5</v>
      </c>
      <c r="B560" s="19" t="s">
        <v>1384</v>
      </c>
      <c r="C560" s="19" t="str">
        <f>IF(OR($A560=0,$A560=""),"",VLOOKUP($A560,codes,2,FALSE))</f>
        <v>RDG</v>
      </c>
      <c r="I560" s="162">
        <f t="shared" si="69"/>
      </c>
    </row>
    <row r="561" spans="1:9" ht="12.75">
      <c r="A561" s="40" t="s">
        <v>1407</v>
      </c>
      <c r="B561" s="40" t="s">
        <v>1412</v>
      </c>
      <c r="C561" s="40" t="s">
        <v>20</v>
      </c>
      <c r="I561" s="162">
        <f t="shared" si="69"/>
      </c>
    </row>
    <row r="562" spans="1:9" ht="12.75">
      <c r="A562" s="19" t="s">
        <v>1385</v>
      </c>
      <c r="I562" s="162">
        <f t="shared" si="69"/>
      </c>
    </row>
    <row r="563" spans="1:9" ht="12.75">
      <c r="A563" s="19">
        <v>9</v>
      </c>
      <c r="B563" s="19" t="s">
        <v>1386</v>
      </c>
      <c r="C563" s="19" t="str">
        <f>IF(OR($A563=0,$A563=""),"",VLOOKUP($A563,codes,2,FALSE))</f>
        <v>W&amp;M</v>
      </c>
      <c r="I563" s="162">
        <f t="shared" si="69"/>
      </c>
    </row>
    <row r="564" spans="1:9" ht="12.75">
      <c r="A564" s="19">
        <v>1</v>
      </c>
      <c r="B564" s="40" t="s">
        <v>1421</v>
      </c>
      <c r="C564" s="19" t="str">
        <f>IF(OR($A564=0,$A564=""),"",VLOOKUP($A564,codes,2,FALSE))</f>
        <v>BRK</v>
      </c>
      <c r="I564" s="162">
        <f t="shared" si="69"/>
      </c>
    </row>
    <row r="565" spans="1:9" ht="12.75">
      <c r="A565" s="19">
        <v>11</v>
      </c>
      <c r="B565" s="19" t="s">
        <v>1387</v>
      </c>
      <c r="C565" s="19" t="str">
        <f>IF(OR($A565=0,$A565=""),"",VLOOKUP($A565,codes,2,FALSE))</f>
        <v>WOK</v>
      </c>
      <c r="I565" s="162">
        <f t="shared" si="69"/>
      </c>
    </row>
    <row r="566" spans="1:9" ht="12.75">
      <c r="A566" s="19">
        <v>13</v>
      </c>
      <c r="B566" s="19" t="s">
        <v>1388</v>
      </c>
      <c r="C566" s="19" t="s">
        <v>1360</v>
      </c>
      <c r="I566" s="162">
        <f t="shared" si="69"/>
      </c>
    </row>
    <row r="567" ht="12.75">
      <c r="I567" s="162">
        <f t="shared" si="69"/>
      </c>
    </row>
    <row r="568" ht="12.75">
      <c r="I568" s="162">
        <f t="shared" si="69"/>
      </c>
    </row>
    <row r="569" ht="12.75">
      <c r="I569" s="162">
        <f t="shared" si="69"/>
      </c>
    </row>
    <row r="570" spans="7:9" ht="12.75">
      <c r="G570" s="18" t="s">
        <v>111</v>
      </c>
      <c r="I570" s="162"/>
    </row>
    <row r="571" spans="7:9" ht="12.75">
      <c r="G571" s="41" t="s">
        <v>990</v>
      </c>
      <c r="I571" s="162"/>
    </row>
    <row r="572" spans="7:9" ht="12.75">
      <c r="G572" s="18">
        <v>1</v>
      </c>
      <c r="H572" s="41" t="s">
        <v>1413</v>
      </c>
      <c r="I572" s="162" t="str">
        <f aca="true" t="shared" si="71" ref="I572:I593">IF(OR($G572=0,$G572=""),"",VLOOKUP($G572,codes,2,FALSE))</f>
        <v>BRK</v>
      </c>
    </row>
    <row r="573" spans="7:9" ht="12.75">
      <c r="G573" s="18">
        <v>2</v>
      </c>
      <c r="H573" s="41" t="s">
        <v>991</v>
      </c>
      <c r="I573" s="162" t="str">
        <f t="shared" si="71"/>
        <v>BRK</v>
      </c>
    </row>
    <row r="574" spans="7:9" ht="12.75">
      <c r="G574" s="18">
        <v>3</v>
      </c>
      <c r="H574" s="41" t="s">
        <v>992</v>
      </c>
      <c r="I574" s="162" t="str">
        <f t="shared" si="71"/>
        <v>WB</v>
      </c>
    </row>
    <row r="575" spans="7:9" ht="12.75">
      <c r="G575" s="18">
        <v>4</v>
      </c>
      <c r="H575" s="41" t="s">
        <v>993</v>
      </c>
      <c r="I575" s="162" t="str">
        <f t="shared" si="71"/>
        <v>WB</v>
      </c>
    </row>
    <row r="576" spans="7:9" ht="12.75">
      <c r="G576" s="18">
        <v>5</v>
      </c>
      <c r="H576" s="41" t="s">
        <v>994</v>
      </c>
      <c r="I576" s="162" t="str">
        <f t="shared" si="71"/>
        <v>RDG</v>
      </c>
    </row>
    <row r="577" spans="7:9" ht="12.75">
      <c r="G577" s="18">
        <v>6</v>
      </c>
      <c r="H577" s="41" t="s">
        <v>995</v>
      </c>
      <c r="I577" s="162" t="str">
        <f t="shared" si="71"/>
        <v>RDG</v>
      </c>
    </row>
    <row r="578" spans="7:9" ht="12.75">
      <c r="G578" s="18">
        <v>9</v>
      </c>
      <c r="H578" s="41" t="s">
        <v>996</v>
      </c>
      <c r="I578" s="162" t="str">
        <f t="shared" si="71"/>
        <v>W&amp;M</v>
      </c>
    </row>
    <row r="579" spans="7:9" ht="12.75">
      <c r="G579" s="18">
        <v>10</v>
      </c>
      <c r="H579" s="41" t="s">
        <v>997</v>
      </c>
      <c r="I579" s="162" t="str">
        <f t="shared" si="71"/>
        <v>W&amp;M</v>
      </c>
    </row>
    <row r="580" spans="7:9" ht="12.75">
      <c r="G580" s="18">
        <v>11</v>
      </c>
      <c r="H580" s="41" t="s">
        <v>998</v>
      </c>
      <c r="I580" s="162" t="str">
        <f t="shared" si="71"/>
        <v>WOK</v>
      </c>
    </row>
    <row r="581" spans="7:9" ht="12.75">
      <c r="G581" s="18">
        <v>12</v>
      </c>
      <c r="H581" s="41" t="s">
        <v>999</v>
      </c>
      <c r="I581" s="162" t="str">
        <f t="shared" si="71"/>
        <v>WOK</v>
      </c>
    </row>
    <row r="582" spans="8:9" ht="12.75">
      <c r="H582" s="41"/>
      <c r="I582" s="162">
        <f t="shared" si="71"/>
      </c>
    </row>
    <row r="583" spans="8:9" ht="12.75">
      <c r="H583" s="41"/>
      <c r="I583" s="162"/>
    </row>
    <row r="584" spans="8:9" ht="12.75">
      <c r="H584" s="41"/>
      <c r="I584" s="162">
        <f t="shared" si="71"/>
      </c>
    </row>
    <row r="585" ht="12.75">
      <c r="I585" s="162">
        <f t="shared" si="71"/>
      </c>
    </row>
    <row r="586" ht="12.75">
      <c r="I586" s="162">
        <f t="shared" si="71"/>
      </c>
    </row>
    <row r="587" ht="12.75">
      <c r="I587" s="162">
        <f t="shared" si="71"/>
      </c>
    </row>
    <row r="588" ht="12.75">
      <c r="I588" s="162">
        <f t="shared" si="71"/>
      </c>
    </row>
    <row r="589" ht="12.75">
      <c r="I589" s="162">
        <f t="shared" si="71"/>
      </c>
    </row>
    <row r="590" ht="12.75">
      <c r="I590" s="162">
        <f t="shared" si="71"/>
      </c>
    </row>
    <row r="591" ht="12.75">
      <c r="I591" s="162">
        <f t="shared" si="71"/>
      </c>
    </row>
    <row r="592" ht="12.75">
      <c r="I592" s="162">
        <f t="shared" si="71"/>
      </c>
    </row>
    <row r="593" ht="12.75">
      <c r="I593" s="162">
        <f t="shared" si="71"/>
      </c>
    </row>
    <row r="594" spans="7:9" ht="12.75">
      <c r="G594" s="41" t="s">
        <v>1000</v>
      </c>
      <c r="I594" s="162"/>
    </row>
    <row r="595" spans="7:9" ht="12.75">
      <c r="G595" s="18">
        <v>1</v>
      </c>
      <c r="H595" s="41" t="s">
        <v>1001</v>
      </c>
      <c r="I595" s="162" t="str">
        <f aca="true" t="shared" si="72" ref="I595:I604">IF(OR($G595=0,$G595=""),"",VLOOKUP($G595,codes,2,FALSE))</f>
        <v>BRK</v>
      </c>
    </row>
    <row r="596" spans="7:9" ht="12.75">
      <c r="G596" s="18">
        <v>2</v>
      </c>
      <c r="H596" s="41" t="s">
        <v>1002</v>
      </c>
      <c r="I596" s="162" t="str">
        <f t="shared" si="72"/>
        <v>BRK</v>
      </c>
    </row>
    <row r="597" spans="7:9" ht="12.75">
      <c r="G597" s="18">
        <v>3</v>
      </c>
      <c r="H597" s="41" t="s">
        <v>1003</v>
      </c>
      <c r="I597" s="162" t="str">
        <f t="shared" si="72"/>
        <v>WB</v>
      </c>
    </row>
    <row r="598" spans="7:9" ht="12.75">
      <c r="G598" s="18">
        <v>4</v>
      </c>
      <c r="H598" s="41" t="s">
        <v>1004</v>
      </c>
      <c r="I598" s="162" t="str">
        <f t="shared" si="72"/>
        <v>WB</v>
      </c>
    </row>
    <row r="599" spans="7:9" ht="12.75">
      <c r="G599" s="18">
        <v>5</v>
      </c>
      <c r="H599" s="41" t="s">
        <v>1005</v>
      </c>
      <c r="I599" s="162" t="str">
        <f t="shared" si="72"/>
        <v>RDG</v>
      </c>
    </row>
    <row r="600" spans="7:9" ht="12.75">
      <c r="G600" s="18">
        <v>6</v>
      </c>
      <c r="H600" s="41" t="s">
        <v>1006</v>
      </c>
      <c r="I600" s="162" t="str">
        <f t="shared" si="72"/>
        <v>RDG</v>
      </c>
    </row>
    <row r="601" spans="7:9" ht="12.75">
      <c r="G601" s="18">
        <v>9</v>
      </c>
      <c r="H601" s="41" t="s">
        <v>1007</v>
      </c>
      <c r="I601" s="162" t="str">
        <f t="shared" si="72"/>
        <v>W&amp;M</v>
      </c>
    </row>
    <row r="602" spans="7:9" ht="12.75">
      <c r="G602" s="18">
        <v>10</v>
      </c>
      <c r="H602" s="41" t="s">
        <v>1008</v>
      </c>
      <c r="I602" s="162" t="str">
        <f t="shared" si="72"/>
        <v>W&amp;M</v>
      </c>
    </row>
    <row r="603" spans="7:9" ht="12.75">
      <c r="G603" s="18">
        <v>11</v>
      </c>
      <c r="H603" s="41" t="s">
        <v>1009</v>
      </c>
      <c r="I603" s="162" t="str">
        <f t="shared" si="72"/>
        <v>WOK</v>
      </c>
    </row>
    <row r="604" spans="7:9" ht="12.75">
      <c r="G604" s="18">
        <v>12</v>
      </c>
      <c r="H604" s="41" t="s">
        <v>1010</v>
      </c>
      <c r="I604" s="162" t="str">
        <f t="shared" si="72"/>
        <v>WOK</v>
      </c>
    </row>
    <row r="605" spans="7:9" ht="12.75">
      <c r="G605" s="41"/>
      <c r="H605" s="41"/>
      <c r="I605" s="166"/>
    </row>
    <row r="606" spans="8:9" ht="12.75">
      <c r="H606" s="41"/>
      <c r="I606" s="162">
        <f aca="true" t="shared" si="73" ref="I606:I614">IF(OR($G606=0,$G606=""),"",VLOOKUP($G606,codes,2,FALSE))</f>
      </c>
    </row>
    <row r="607" ht="12.75">
      <c r="I607" s="162">
        <f t="shared" si="73"/>
      </c>
    </row>
    <row r="608" ht="12.75">
      <c r="I608" s="162">
        <f t="shared" si="73"/>
      </c>
    </row>
    <row r="609" ht="12.75">
      <c r="I609" s="162">
        <f t="shared" si="73"/>
      </c>
    </row>
    <row r="610" ht="12.75">
      <c r="I610" s="162">
        <f t="shared" si="73"/>
      </c>
    </row>
    <row r="611" ht="12.75">
      <c r="I611" s="162">
        <f t="shared" si="73"/>
      </c>
    </row>
    <row r="612" ht="12.75">
      <c r="I612" s="162">
        <f t="shared" si="73"/>
      </c>
    </row>
    <row r="613" ht="12.75">
      <c r="I613" s="162">
        <f t="shared" si="73"/>
      </c>
    </row>
    <row r="614" ht="12.75">
      <c r="I614" s="162">
        <f t="shared" si="73"/>
      </c>
    </row>
    <row r="615" spans="7:9" ht="12.75">
      <c r="G615" s="18" t="s">
        <v>112</v>
      </c>
      <c r="I615" s="162"/>
    </row>
    <row r="616" ht="12.75">
      <c r="I616" s="162">
        <f>IF(OR($G616=0,$G616=""),"",VLOOKUP($G616,codes,2,FALSE))</f>
      </c>
    </row>
    <row r="617" spans="7:9" ht="12.75">
      <c r="G617" s="41" t="s">
        <v>1019</v>
      </c>
      <c r="I617" s="162"/>
    </row>
    <row r="618" spans="7:9" ht="12.75">
      <c r="G618" s="18">
        <v>1</v>
      </c>
      <c r="H618" s="41" t="s">
        <v>1011</v>
      </c>
      <c r="I618" s="162" t="str">
        <f aca="true" t="shared" si="74" ref="I618:I629">IF(OR($G618=0,$G618=""),"",VLOOKUP($G618,codes,2,FALSE))</f>
        <v>BRK</v>
      </c>
    </row>
    <row r="619" spans="7:9" ht="12.75">
      <c r="G619" s="18">
        <v>4</v>
      </c>
      <c r="H619" s="41" t="s">
        <v>1012</v>
      </c>
      <c r="I619" s="162" t="str">
        <f t="shared" si="74"/>
        <v>WB</v>
      </c>
    </row>
    <row r="620" spans="7:9" ht="12.75">
      <c r="G620" s="18">
        <v>7</v>
      </c>
      <c r="H620" s="41" t="s">
        <v>1013</v>
      </c>
      <c r="I620" s="162" t="str">
        <f t="shared" si="74"/>
        <v>SL</v>
      </c>
    </row>
    <row r="621" spans="7:9" ht="12.75">
      <c r="G621" s="18">
        <v>8</v>
      </c>
      <c r="H621" s="41" t="s">
        <v>1014</v>
      </c>
      <c r="I621" s="162" t="str">
        <f t="shared" si="74"/>
        <v>SL</v>
      </c>
    </row>
    <row r="622" spans="7:9" ht="12.75">
      <c r="G622" s="18">
        <v>9</v>
      </c>
      <c r="H622" s="41" t="s">
        <v>1015</v>
      </c>
      <c r="I622" s="162" t="str">
        <f t="shared" si="74"/>
        <v>W&amp;M</v>
      </c>
    </row>
    <row r="623" spans="7:9" ht="12.75">
      <c r="G623" s="18">
        <v>10</v>
      </c>
      <c r="H623" s="41" t="s">
        <v>1016</v>
      </c>
      <c r="I623" s="162" t="str">
        <f t="shared" si="74"/>
        <v>W&amp;M</v>
      </c>
    </row>
    <row r="624" spans="7:9" ht="12.75">
      <c r="G624" s="18">
        <v>11</v>
      </c>
      <c r="H624" s="41" t="s">
        <v>1017</v>
      </c>
      <c r="I624" s="162" t="str">
        <f t="shared" si="74"/>
        <v>WOK</v>
      </c>
    </row>
    <row r="625" spans="7:9" ht="12.75">
      <c r="G625" s="41">
        <v>12</v>
      </c>
      <c r="H625" s="41" t="s">
        <v>1018</v>
      </c>
      <c r="I625" s="162" t="str">
        <f t="shared" si="74"/>
        <v>WOK</v>
      </c>
    </row>
    <row r="626" spans="7:9" ht="12.75">
      <c r="G626" s="41"/>
      <c r="H626" s="41"/>
      <c r="I626" s="166"/>
    </row>
    <row r="627" ht="12.75">
      <c r="I627" s="162">
        <f t="shared" si="74"/>
      </c>
    </row>
    <row r="628" ht="12.75">
      <c r="I628" s="162">
        <f t="shared" si="74"/>
      </c>
    </row>
    <row r="629" ht="12.75">
      <c r="I629" s="162">
        <f t="shared" si="74"/>
      </c>
    </row>
    <row r="630" spans="7:9" ht="12.75">
      <c r="G630" s="41" t="s">
        <v>1020</v>
      </c>
      <c r="I630" s="162"/>
    </row>
    <row r="631" spans="7:9" ht="12.75">
      <c r="G631" s="18">
        <v>3</v>
      </c>
      <c r="H631" s="41" t="s">
        <v>1021</v>
      </c>
      <c r="I631" s="162" t="str">
        <f>IF(OR($G631=0,$G631=""),"",VLOOKUP($G631,codes,2,FALSE))</f>
        <v>WB</v>
      </c>
    </row>
    <row r="632" spans="8:9" ht="12.75">
      <c r="H632" s="41"/>
      <c r="I632" s="162">
        <f>IF(OR($G632=0,$G632=""),"",VLOOKUP($G632,codes,2,FALSE))</f>
      </c>
    </row>
    <row r="633" spans="8:9" ht="12.75">
      <c r="H633" s="41"/>
      <c r="I633" s="162">
        <f>IF(OR($G633=0,$G633=""),"",VLOOKUP($G633,codes,2,FALSE))</f>
      </c>
    </row>
    <row r="634" spans="8:9" ht="12.75">
      <c r="H634" s="41"/>
      <c r="I634" s="162">
        <f>IF(OR($G634=0,$G634=""),"",VLOOKUP($G634,codes,2,FALSE))</f>
      </c>
    </row>
    <row r="635" ht="12.75">
      <c r="I635" s="162">
        <f>IF(OR($G635=0,$G635=""),"",VLOOKUP($G635,codes,2,FALSE))</f>
      </c>
    </row>
    <row r="636" spans="7:9" ht="12.75">
      <c r="G636" s="41" t="s">
        <v>1022</v>
      </c>
      <c r="I636" s="162"/>
    </row>
    <row r="637" spans="7:9" ht="12.75">
      <c r="G637" s="18">
        <v>1</v>
      </c>
      <c r="H637" s="18" t="s">
        <v>1023</v>
      </c>
      <c r="I637" s="162" t="str">
        <f aca="true" t="shared" si="75" ref="I637:I654">IF(OR($G637=0,$G637=""),"",VLOOKUP($G637,codes,2,FALSE))</f>
        <v>BRK</v>
      </c>
    </row>
    <row r="638" spans="7:9" ht="12.75">
      <c r="G638" s="18">
        <v>2</v>
      </c>
      <c r="H638" s="18" t="s">
        <v>1024</v>
      </c>
      <c r="I638" s="162" t="str">
        <f t="shared" si="75"/>
        <v>BRK</v>
      </c>
    </row>
    <row r="639" spans="7:9" ht="12.75">
      <c r="G639" s="18">
        <v>3</v>
      </c>
      <c r="H639" s="41" t="s">
        <v>1025</v>
      </c>
      <c r="I639" s="162" t="str">
        <f t="shared" si="75"/>
        <v>WB</v>
      </c>
    </row>
    <row r="640" spans="7:9" ht="12.75">
      <c r="G640" s="18">
        <v>4</v>
      </c>
      <c r="H640" s="41" t="s">
        <v>1026</v>
      </c>
      <c r="I640" s="162" t="str">
        <f t="shared" si="75"/>
        <v>WB</v>
      </c>
    </row>
    <row r="641" spans="7:9" ht="12.75">
      <c r="G641" s="18">
        <v>5</v>
      </c>
      <c r="H641" s="18" t="s">
        <v>1027</v>
      </c>
      <c r="I641" s="162" t="str">
        <f t="shared" si="75"/>
        <v>RDG</v>
      </c>
    </row>
    <row r="642" spans="7:9" ht="12.75">
      <c r="G642" s="18">
        <v>6</v>
      </c>
      <c r="H642" s="41" t="s">
        <v>1028</v>
      </c>
      <c r="I642" s="162" t="str">
        <f t="shared" si="75"/>
        <v>RDG</v>
      </c>
    </row>
    <row r="643" spans="7:9" ht="12.75">
      <c r="G643" s="18">
        <v>9</v>
      </c>
      <c r="H643" s="41" t="s">
        <v>1029</v>
      </c>
      <c r="I643" s="162" t="str">
        <f t="shared" si="75"/>
        <v>W&amp;M</v>
      </c>
    </row>
    <row r="644" spans="7:9" ht="12.75">
      <c r="G644" s="18">
        <v>10</v>
      </c>
      <c r="H644" s="41" t="s">
        <v>1030</v>
      </c>
      <c r="I644" s="162" t="str">
        <f t="shared" si="75"/>
        <v>W&amp;M</v>
      </c>
    </row>
    <row r="645" spans="7:9" ht="12.75">
      <c r="G645" s="18">
        <v>11</v>
      </c>
      <c r="H645" s="41" t="s">
        <v>1031</v>
      </c>
      <c r="I645" s="162" t="str">
        <f t="shared" si="75"/>
        <v>WOK</v>
      </c>
    </row>
    <row r="646" spans="7:9" ht="12.75">
      <c r="G646" s="18">
        <v>12</v>
      </c>
      <c r="H646" s="41" t="s">
        <v>1032</v>
      </c>
      <c r="I646" s="162" t="str">
        <f t="shared" si="75"/>
        <v>WOK</v>
      </c>
    </row>
    <row r="647" spans="8:9" ht="12.75">
      <c r="H647" s="41"/>
      <c r="I647" s="162">
        <f t="shared" si="75"/>
      </c>
    </row>
    <row r="648" ht="12.75">
      <c r="I648" s="162">
        <f t="shared" si="75"/>
      </c>
    </row>
    <row r="649" ht="12.75">
      <c r="I649" s="162">
        <f t="shared" si="75"/>
      </c>
    </row>
    <row r="650" ht="12.75">
      <c r="I650" s="162">
        <f t="shared" si="75"/>
      </c>
    </row>
    <row r="651" ht="12.75">
      <c r="I651" s="162">
        <f t="shared" si="75"/>
      </c>
    </row>
    <row r="652" ht="12.75">
      <c r="I652" s="162">
        <f t="shared" si="75"/>
      </c>
    </row>
    <row r="653" ht="12.75">
      <c r="I653" s="162">
        <f t="shared" si="75"/>
      </c>
    </row>
    <row r="654" ht="12.75">
      <c r="I654" s="162">
        <f t="shared" si="75"/>
      </c>
    </row>
    <row r="655" spans="7:9" ht="12.75">
      <c r="G655" s="41" t="s">
        <v>1033</v>
      </c>
      <c r="I655" s="162"/>
    </row>
    <row r="656" spans="7:9" ht="12.75">
      <c r="G656" s="18">
        <v>7</v>
      </c>
      <c r="H656" s="18" t="s">
        <v>1034</v>
      </c>
      <c r="I656" s="162" t="str">
        <f aca="true" t="shared" si="76" ref="I656:I665">IF(OR($G656=0,$G656=""),"",VLOOKUP($G656,codes,2,FALSE))</f>
        <v>SL</v>
      </c>
    </row>
    <row r="657" spans="8:9" ht="12.75">
      <c r="H657" s="41"/>
      <c r="I657" s="162">
        <f t="shared" si="76"/>
      </c>
    </row>
    <row r="658" spans="8:9" ht="12.75">
      <c r="H658" s="41"/>
      <c r="I658" s="162">
        <f t="shared" si="76"/>
      </c>
    </row>
    <row r="659" spans="8:9" ht="12.75">
      <c r="H659" s="41"/>
      <c r="I659" s="162">
        <f t="shared" si="76"/>
      </c>
    </row>
    <row r="660" spans="8:9" ht="12.75">
      <c r="H660" s="41"/>
      <c r="I660" s="162">
        <f t="shared" si="76"/>
      </c>
    </row>
    <row r="661" spans="8:9" ht="12.75">
      <c r="H661" s="41"/>
      <c r="I661" s="162">
        <f t="shared" si="76"/>
      </c>
    </row>
    <row r="662" spans="8:9" ht="12.75">
      <c r="H662" s="41"/>
      <c r="I662" s="162"/>
    </row>
    <row r="663" ht="12.75">
      <c r="I663" s="162">
        <f t="shared" si="76"/>
      </c>
    </row>
    <row r="664" ht="12.75">
      <c r="I664" s="162">
        <f t="shared" si="76"/>
      </c>
    </row>
    <row r="665" ht="12.75">
      <c r="I665" s="162">
        <f t="shared" si="76"/>
      </c>
    </row>
    <row r="666" spans="7:9" ht="12.75">
      <c r="G666" s="18" t="s">
        <v>1035</v>
      </c>
      <c r="I666" s="162"/>
    </row>
    <row r="667" spans="7:9" ht="12.75">
      <c r="G667" s="18">
        <v>1</v>
      </c>
      <c r="H667" s="18" t="s">
        <v>755</v>
      </c>
      <c r="I667" s="162" t="str">
        <f>IF(OR($G667=0,$G667=""),"",VLOOKUP($G667,codes,2,FALSE))</f>
        <v>BRK</v>
      </c>
    </row>
    <row r="668" ht="12.75">
      <c r="I668" s="162">
        <f>IF(OR($G668=0,$G668=""),"",VLOOKUP($G668,codes,2,FALSE))</f>
      </c>
    </row>
    <row r="669" ht="12.75">
      <c r="I669" s="162">
        <f>IF(OR($G669=0,$G669=""),"",VLOOKUP($G669,codes,2,FALSE))</f>
      </c>
    </row>
    <row r="670" ht="12.75">
      <c r="I670" s="162">
        <f>IF(OR($G670=0,$G670=""),"",VLOOKUP($G670,codes,2,FALSE))</f>
      </c>
    </row>
    <row r="671" spans="7:9" ht="12.75">
      <c r="G671" s="41" t="s">
        <v>434</v>
      </c>
      <c r="I671" s="162"/>
    </row>
    <row r="672" ht="12.75">
      <c r="I672" s="162">
        <f>IF(OR($G672=0,$G672=""),"",VLOOKUP($G672,codes,2,FALSE))</f>
      </c>
    </row>
    <row r="673" spans="8:9" ht="12.75">
      <c r="H673" s="41"/>
      <c r="I673" s="162">
        <f>IF(OR($G673=0,$G673=""),"",VLOOKUP($G673,codes,2,FALSE))</f>
      </c>
    </row>
    <row r="674" spans="8:9" ht="12.75">
      <c r="H674" s="41"/>
      <c r="I674" s="162">
        <f>IF(OR($G674=0,$G674=""),"",VLOOKUP($G674,codes,2,FALSE))</f>
      </c>
    </row>
    <row r="675" spans="8:9" ht="12.75">
      <c r="H675" s="41"/>
      <c r="I675" s="162">
        <f>IF(OR($G675=0,$G675=""),"",VLOOKUP($G675,codes,2,FALSE))</f>
      </c>
    </row>
    <row r="676" ht="12.75">
      <c r="I676" s="162">
        <f>IF(OR($G676=0,$G676=""),"",VLOOKUP($G676,codes,2,FALSE))</f>
      </c>
    </row>
    <row r="677" spans="7:9" ht="12.75">
      <c r="G677" s="41" t="s">
        <v>1036</v>
      </c>
      <c r="I677" s="162"/>
    </row>
    <row r="678" spans="7:9" ht="12.75">
      <c r="G678" s="18">
        <v>1</v>
      </c>
      <c r="H678" s="18" t="s">
        <v>1038</v>
      </c>
      <c r="I678" s="162" t="str">
        <f>IF(OR($G678=0,$G678=""),"",VLOOKUP($G678,codes,2,FALSE))</f>
        <v>BRK</v>
      </c>
    </row>
    <row r="679" spans="7:9" ht="12.75">
      <c r="G679" s="18">
        <v>2</v>
      </c>
      <c r="H679" s="18" t="s">
        <v>1039</v>
      </c>
      <c r="I679" s="162" t="str">
        <f>IF(OR($G679=0,$G679=""),"",VLOOKUP($G679,codes,2,FALSE))</f>
        <v>BRK</v>
      </c>
    </row>
    <row r="680" spans="7:9" ht="12.75">
      <c r="G680" s="307" t="s">
        <v>1037</v>
      </c>
      <c r="H680" s="41" t="s">
        <v>1040</v>
      </c>
      <c r="I680" s="162" t="s">
        <v>20</v>
      </c>
    </row>
    <row r="681" spans="7:9" ht="12.75">
      <c r="G681" s="18">
        <v>5</v>
      </c>
      <c r="H681" s="41" t="s">
        <v>1041</v>
      </c>
      <c r="I681" s="162" t="str">
        <f>IF(OR($G681=0,$G681=""),"",VLOOKUP($G681,codes,2,FALSE))</f>
        <v>RDG</v>
      </c>
    </row>
    <row r="682" spans="7:9" ht="12.75">
      <c r="G682" s="18">
        <v>11</v>
      </c>
      <c r="H682" s="18" t="s">
        <v>1042</v>
      </c>
      <c r="I682" s="162" t="str">
        <f>IF(OR($G682=0,$G682=""),"",VLOOKUP($G682,codes,2,FALSE))</f>
        <v>WOK</v>
      </c>
    </row>
    <row r="684" spans="7:9" ht="12.75">
      <c r="G684" s="41" t="s">
        <v>435</v>
      </c>
      <c r="I684" s="162"/>
    </row>
    <row r="686" spans="8:9" ht="12.75">
      <c r="H686" s="41"/>
      <c r="I686" s="162">
        <f>IF(OR($G686=0,$G686=""),"",VLOOKUP($G686,codes,2,FALSE))</f>
      </c>
    </row>
    <row r="687" spans="8:9" ht="12.75">
      <c r="H687" s="41"/>
      <c r="I687" s="162">
        <f>IF(OR($G687=0,$G687=""),"",VLOOKUP($G687,codes,2,FALSE))</f>
      </c>
    </row>
    <row r="688" ht="12.75">
      <c r="I688" s="162">
        <f>IF(OR($G688=0,$G688=""),"",VLOOKUP($G688,codes,2,FALSE))</f>
      </c>
    </row>
    <row r="689" ht="12.75">
      <c r="I689" s="162">
        <f>IF(OR($G689=0,$G689=""),"",VLOOKUP($G689,codes,2,FALSE))</f>
      </c>
    </row>
    <row r="690" ht="12.75">
      <c r="I690" s="162">
        <f>IF(OR($G690=0,$G690=""),"",VLOOKUP($G690,codes,2,FALSE))</f>
      </c>
    </row>
    <row r="691" spans="7:9" ht="12.75">
      <c r="G691" s="41" t="s">
        <v>1044</v>
      </c>
      <c r="I691" s="162"/>
    </row>
    <row r="692" spans="7:9" ht="12.75">
      <c r="G692" s="18">
        <v>12</v>
      </c>
      <c r="H692" s="18" t="s">
        <v>1043</v>
      </c>
      <c r="I692" s="162" t="str">
        <f>IF(OR($G692=0,$G692=""),"",VLOOKUP($G692,codes,2,FALSE))</f>
        <v>WOK</v>
      </c>
    </row>
    <row r="693" spans="8:9" ht="12.75">
      <c r="H693" s="41"/>
      <c r="I693" s="162">
        <f>IF(OR($G693=0,$G693=""),"",VLOOKUP($G693,codes,2,FALSE))</f>
      </c>
    </row>
    <row r="694" spans="8:9" ht="12.75">
      <c r="H694" s="41"/>
      <c r="I694" s="162">
        <f>IF(OR($G694=0,$G694=""),"",VLOOKUP($G694,codes,2,FALSE))</f>
      </c>
    </row>
    <row r="695" ht="12.75">
      <c r="I695" s="162">
        <f>IF(OR($G695=0,$G695=""),"",VLOOKUP($G695,codes,2,FALSE))</f>
      </c>
    </row>
    <row r="696" ht="12.75">
      <c r="I696" s="162">
        <f>IF(OR($G696=0,$G696=""),"",VLOOKUP($G696,codes,2,FALSE))</f>
      </c>
    </row>
    <row r="697" spans="7:9" ht="12.75">
      <c r="G697" s="41" t="s">
        <v>1045</v>
      </c>
      <c r="I697" s="162"/>
    </row>
    <row r="698" spans="7:9" ht="12.75">
      <c r="G698" s="18">
        <v>1</v>
      </c>
      <c r="H698" s="18" t="s">
        <v>1046</v>
      </c>
      <c r="I698" s="162" t="str">
        <f aca="true" t="shared" si="77" ref="I698:I703">IF(OR($G698=0,$G698=""),"",VLOOKUP($G698,codes,2,FALSE))</f>
        <v>BRK</v>
      </c>
    </row>
    <row r="699" spans="7:9" ht="12.75">
      <c r="G699" s="18">
        <v>2</v>
      </c>
      <c r="H699" s="41" t="s">
        <v>1047</v>
      </c>
      <c r="I699" s="162" t="str">
        <f t="shared" si="77"/>
        <v>BRK</v>
      </c>
    </row>
    <row r="700" spans="7:9" ht="12.75">
      <c r="G700" s="18">
        <v>3</v>
      </c>
      <c r="H700" s="41" t="s">
        <v>1048</v>
      </c>
      <c r="I700" s="162" t="str">
        <f t="shared" si="77"/>
        <v>WB</v>
      </c>
    </row>
    <row r="701" spans="7:9" ht="12.75">
      <c r="G701" s="18">
        <v>11</v>
      </c>
      <c r="H701" s="18" t="s">
        <v>1049</v>
      </c>
      <c r="I701" s="162" t="str">
        <f t="shared" si="77"/>
        <v>WOK</v>
      </c>
    </row>
    <row r="702" spans="7:9" ht="12.75">
      <c r="G702" s="18">
        <v>12</v>
      </c>
      <c r="H702" s="18" t="s">
        <v>1050</v>
      </c>
      <c r="I702" s="162" t="str">
        <f t="shared" si="77"/>
        <v>WOK</v>
      </c>
    </row>
    <row r="703" ht="12.75">
      <c r="I703" s="162">
        <f t="shared" si="77"/>
      </c>
    </row>
    <row r="704" spans="7:9" ht="12.75">
      <c r="G704" s="41" t="s">
        <v>1051</v>
      </c>
      <c r="I704" s="162"/>
    </row>
    <row r="705" spans="7:9" ht="12.75">
      <c r="G705" s="18">
        <v>1</v>
      </c>
      <c r="H705" s="18" t="s">
        <v>1052</v>
      </c>
      <c r="I705" s="162" t="str">
        <f>IF(OR($G705=0,$G705=""),"",VLOOKUP($G705,codes,2,FALSE))</f>
        <v>BRK</v>
      </c>
    </row>
    <row r="706" spans="8:9" ht="12.75">
      <c r="H706" s="41"/>
      <c r="I706" s="162">
        <f>IF(OR($G706=0,$G706=""),"",VLOOKUP($G706,codes,2,FALSE))</f>
      </c>
    </row>
    <row r="707" spans="7:9" ht="12.75">
      <c r="G707" s="41" t="s">
        <v>1402</v>
      </c>
      <c r="H707" s="41" t="s">
        <v>1403</v>
      </c>
      <c r="I707" s="162"/>
    </row>
    <row r="708" spans="7:9" ht="12.75">
      <c r="G708" s="18">
        <v>1</v>
      </c>
      <c r="H708" s="41" t="s">
        <v>1404</v>
      </c>
      <c r="I708" s="162" t="str">
        <f>IF(OR($G708=0,$G708=""),"",VLOOKUP($G708,codes,2,FALSE))</f>
        <v>BRK</v>
      </c>
    </row>
    <row r="709" spans="7:9" ht="12.75">
      <c r="G709" s="18">
        <v>3</v>
      </c>
      <c r="H709" s="41" t="s">
        <v>1405</v>
      </c>
      <c r="I709" s="41" t="s">
        <v>16</v>
      </c>
    </row>
  </sheetData>
  <sheetProtection selectLockedCells="1"/>
  <mergeCells count="1">
    <mergeCell ref="G82:I8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712"/>
  <sheetViews>
    <sheetView zoomScalePageLayoutView="0" workbookViewId="0" topLeftCell="A38">
      <selection activeCell="A62" sqref="A62"/>
    </sheetView>
  </sheetViews>
  <sheetFormatPr defaultColWidth="9.140625" defaultRowHeight="12.75"/>
  <cols>
    <col min="1" max="2" width="4.7109375" style="0" customWidth="1"/>
    <col min="3" max="3" width="17.8515625" style="0" customWidth="1"/>
    <col min="4" max="4" width="16.57421875" style="0" customWidth="1"/>
    <col min="5" max="25" width="4.57421875" style="0" customWidth="1"/>
  </cols>
  <sheetData>
    <row r="1" spans="1:25" s="59" customFormat="1" ht="20.25">
      <c r="A1" s="336" t="s">
        <v>147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8"/>
    </row>
    <row r="2" spans="1:25" s="59" customFormat="1" ht="15.75" customHeight="1">
      <c r="A2" s="339" t="s">
        <v>148</v>
      </c>
      <c r="B2" s="340"/>
      <c r="C2" s="341" t="s">
        <v>177</v>
      </c>
      <c r="D2" s="342"/>
      <c r="E2" s="339" t="s">
        <v>149</v>
      </c>
      <c r="F2" s="343"/>
      <c r="G2" s="340"/>
      <c r="H2" s="341" t="s">
        <v>360</v>
      </c>
      <c r="I2" s="344"/>
      <c r="J2" s="345"/>
      <c r="K2" s="345"/>
      <c r="L2" s="346"/>
      <c r="M2" s="347" t="s">
        <v>150</v>
      </c>
      <c r="N2" s="348"/>
      <c r="O2" s="349"/>
      <c r="P2" s="350" t="s">
        <v>368</v>
      </c>
      <c r="Q2" s="351"/>
      <c r="R2" s="351"/>
      <c r="S2" s="351"/>
      <c r="T2" s="351"/>
      <c r="U2" s="351"/>
      <c r="V2" s="351"/>
      <c r="W2" s="351"/>
      <c r="X2" s="351"/>
      <c r="Y2" s="352"/>
    </row>
    <row r="3" spans="1:25" s="59" customFormat="1" ht="15.75" customHeight="1">
      <c r="A3" s="339" t="s">
        <v>179</v>
      </c>
      <c r="B3" s="340"/>
      <c r="C3" s="377" t="s">
        <v>184</v>
      </c>
      <c r="D3" s="378"/>
      <c r="E3" s="339" t="s">
        <v>151</v>
      </c>
      <c r="F3" s="343"/>
      <c r="G3" s="340"/>
      <c r="H3" s="379" t="s">
        <v>331</v>
      </c>
      <c r="I3" s="380"/>
      <c r="J3" s="339" t="s">
        <v>152</v>
      </c>
      <c r="K3" s="343"/>
      <c r="L3" s="340"/>
      <c r="M3" s="381"/>
      <c r="N3" s="375"/>
      <c r="O3" s="376"/>
      <c r="P3" s="373" t="s">
        <v>153</v>
      </c>
      <c r="Q3" s="374"/>
      <c r="R3" s="375"/>
      <c r="S3" s="375"/>
      <c r="T3" s="375" t="e">
        <f>VLOOKUP(I1,eventslist,4,FALSE)</f>
        <v>#NAME?</v>
      </c>
      <c r="U3" s="375"/>
      <c r="V3" s="375" t="e">
        <f>VLOOKUP(K1,eventslist,4,FALSE)</f>
        <v>#NAME?</v>
      </c>
      <c r="W3" s="375"/>
      <c r="X3" s="375" t="e">
        <f>VLOOKUP(M1,eventslist,4,FALSE)</f>
        <v>#NAME?</v>
      </c>
      <c r="Y3" s="376"/>
    </row>
    <row r="4" spans="1:25" s="59" customFormat="1" ht="31.5" customHeight="1">
      <c r="A4" s="60" t="s">
        <v>154</v>
      </c>
      <c r="B4" s="60" t="s">
        <v>155</v>
      </c>
      <c r="C4" s="61" t="s">
        <v>156</v>
      </c>
      <c r="D4" s="62" t="s">
        <v>157</v>
      </c>
      <c r="E4" s="362" t="s">
        <v>158</v>
      </c>
      <c r="F4" s="357"/>
      <c r="G4" s="357" t="s">
        <v>159</v>
      </c>
      <c r="H4" s="357"/>
      <c r="I4" s="357" t="s">
        <v>160</v>
      </c>
      <c r="J4" s="357"/>
      <c r="K4" s="357" t="s">
        <v>161</v>
      </c>
      <c r="L4" s="357"/>
      <c r="M4" s="355" t="s">
        <v>162</v>
      </c>
      <c r="N4" s="357" t="s">
        <v>163</v>
      </c>
      <c r="O4" s="357"/>
      <c r="P4" s="357" t="s">
        <v>164</v>
      </c>
      <c r="Q4" s="357"/>
      <c r="R4" s="357" t="s">
        <v>165</v>
      </c>
      <c r="S4" s="357"/>
      <c r="T4" s="357" t="s">
        <v>166</v>
      </c>
      <c r="U4" s="358"/>
      <c r="V4" s="359" t="s">
        <v>167</v>
      </c>
      <c r="W4" s="354" t="s">
        <v>168</v>
      </c>
      <c r="X4" s="360"/>
      <c r="Y4" s="361"/>
    </row>
    <row r="5" spans="1:25" s="59" customFormat="1" ht="12.75">
      <c r="A5" s="63"/>
      <c r="B5" s="63"/>
      <c r="C5" s="120" t="s">
        <v>185</v>
      </c>
      <c r="D5" s="370" t="s">
        <v>301</v>
      </c>
      <c r="E5" s="371"/>
      <c r="F5" s="372"/>
      <c r="G5" s="353" t="s">
        <v>169</v>
      </c>
      <c r="H5" s="353"/>
      <c r="I5" s="353" t="s">
        <v>169</v>
      </c>
      <c r="J5" s="353"/>
      <c r="K5" s="353" t="s">
        <v>169</v>
      </c>
      <c r="L5" s="353"/>
      <c r="M5" s="356"/>
      <c r="N5" s="353" t="s">
        <v>169</v>
      </c>
      <c r="O5" s="353"/>
      <c r="P5" s="353" t="s">
        <v>169</v>
      </c>
      <c r="Q5" s="353"/>
      <c r="R5" s="353" t="s">
        <v>169</v>
      </c>
      <c r="S5" s="353"/>
      <c r="T5" s="353" t="s">
        <v>169</v>
      </c>
      <c r="U5" s="354"/>
      <c r="V5" s="355"/>
      <c r="W5" s="60"/>
      <c r="X5" s="60" t="s">
        <v>170</v>
      </c>
      <c r="Y5" s="60" t="s">
        <v>171</v>
      </c>
    </row>
    <row r="6" spans="1:25" s="59" customFormat="1" ht="15.75" customHeight="1">
      <c r="A6" s="63">
        <v>1</v>
      </c>
      <c r="B6" s="119">
        <v>3</v>
      </c>
      <c r="C6" s="122" t="s">
        <v>436</v>
      </c>
      <c r="D6" s="119" t="s">
        <v>16</v>
      </c>
      <c r="E6" s="270"/>
      <c r="F6" s="271"/>
      <c r="G6" s="270"/>
      <c r="H6" s="271"/>
      <c r="I6" s="270"/>
      <c r="J6" s="271"/>
      <c r="K6" s="284"/>
      <c r="L6" s="285"/>
      <c r="M6" s="67"/>
      <c r="N6" s="270"/>
      <c r="O6" s="271"/>
      <c r="P6" s="270"/>
      <c r="Q6" s="271"/>
      <c r="R6" s="270"/>
      <c r="S6" s="271"/>
      <c r="T6" s="284"/>
      <c r="U6" s="285"/>
      <c r="V6" s="67"/>
      <c r="W6" s="68"/>
      <c r="X6" s="68"/>
      <c r="Y6" s="68"/>
    </row>
    <row r="7" spans="1:25" s="59" customFormat="1" ht="15.75" customHeight="1">
      <c r="A7" s="60">
        <v>2</v>
      </c>
      <c r="B7" s="119">
        <v>9</v>
      </c>
      <c r="C7" s="119" t="s">
        <v>437</v>
      </c>
      <c r="D7" s="119" t="s">
        <v>92</v>
      </c>
      <c r="E7" s="270"/>
      <c r="F7" s="271"/>
      <c r="G7" s="270"/>
      <c r="H7" s="271"/>
      <c r="I7" s="270"/>
      <c r="J7" s="271"/>
      <c r="K7" s="284"/>
      <c r="L7" s="285"/>
      <c r="M7" s="67"/>
      <c r="N7" s="270"/>
      <c r="O7" s="271"/>
      <c r="P7" s="270"/>
      <c r="Q7" s="271"/>
      <c r="R7" s="270"/>
      <c r="S7" s="271"/>
      <c r="T7" s="284"/>
      <c r="U7" s="285"/>
      <c r="V7" s="67"/>
      <c r="W7" s="68"/>
      <c r="X7" s="68"/>
      <c r="Y7" s="68"/>
    </row>
    <row r="8" spans="1:25" s="59" customFormat="1" ht="15.75" customHeight="1">
      <c r="A8" s="211"/>
      <c r="B8" s="211"/>
      <c r="C8" s="230" t="s">
        <v>416</v>
      </c>
      <c r="D8" s="363" t="s">
        <v>417</v>
      </c>
      <c r="E8" s="364"/>
      <c r="F8" s="365"/>
      <c r="G8" s="366"/>
      <c r="H8" s="367"/>
      <c r="I8" s="366"/>
      <c r="J8" s="367"/>
      <c r="K8" s="368"/>
      <c r="L8" s="369"/>
      <c r="M8" s="67"/>
      <c r="N8" s="366"/>
      <c r="O8" s="367"/>
      <c r="P8" s="366"/>
      <c r="Q8" s="367"/>
      <c r="R8" s="366"/>
      <c r="S8" s="367"/>
      <c r="T8" s="368"/>
      <c r="U8" s="369"/>
      <c r="V8" s="67"/>
      <c r="W8" s="68"/>
      <c r="X8" s="68"/>
      <c r="Y8" s="68"/>
    </row>
    <row r="9" spans="1:25" s="59" customFormat="1" ht="15.75" customHeight="1">
      <c r="A9" s="211"/>
      <c r="B9" s="211"/>
      <c r="C9" s="230"/>
      <c r="D9" s="262"/>
      <c r="E9" s="263"/>
      <c r="F9" s="264"/>
      <c r="G9" s="232"/>
      <c r="H9" s="233"/>
      <c r="I9" s="232"/>
      <c r="J9" s="233"/>
      <c r="K9" s="234"/>
      <c r="L9" s="235"/>
      <c r="M9" s="67"/>
      <c r="N9" s="232"/>
      <c r="O9" s="233"/>
      <c r="P9" s="232"/>
      <c r="Q9" s="233"/>
      <c r="R9" s="232"/>
      <c r="S9" s="233"/>
      <c r="T9" s="234"/>
      <c r="U9" s="235"/>
      <c r="V9" s="67"/>
      <c r="W9" s="236"/>
      <c r="X9" s="236"/>
      <c r="Y9" s="236"/>
    </row>
    <row r="10" spans="1:25" s="59" customFormat="1" ht="15.75" customHeight="1">
      <c r="A10" s="60"/>
      <c r="B10" s="265"/>
      <c r="C10" s="266" t="s">
        <v>374</v>
      </c>
      <c r="D10" s="382" t="s">
        <v>302</v>
      </c>
      <c r="E10" s="371"/>
      <c r="F10" s="383"/>
      <c r="G10" s="366"/>
      <c r="H10" s="367"/>
      <c r="I10" s="366"/>
      <c r="J10" s="367"/>
      <c r="K10" s="368"/>
      <c r="L10" s="369"/>
      <c r="M10" s="67"/>
      <c r="N10" s="366"/>
      <c r="O10" s="367"/>
      <c r="P10" s="366"/>
      <c r="Q10" s="367"/>
      <c r="R10" s="366"/>
      <c r="S10" s="367"/>
      <c r="T10" s="368"/>
      <c r="U10" s="369"/>
      <c r="V10" s="67"/>
      <c r="W10" s="68"/>
      <c r="X10" s="68"/>
      <c r="Y10" s="68"/>
    </row>
    <row r="11" spans="1:25" s="59" customFormat="1" ht="15.75" customHeight="1">
      <c r="A11" s="241">
        <v>3</v>
      </c>
      <c r="B11" s="119">
        <v>3</v>
      </c>
      <c r="C11" s="122" t="s">
        <v>438</v>
      </c>
      <c r="D11" s="119" t="s">
        <v>16</v>
      </c>
      <c r="E11" s="164"/>
      <c r="F11" s="261"/>
      <c r="G11" s="232"/>
      <c r="H11" s="233"/>
      <c r="I11" s="232"/>
      <c r="J11" s="233"/>
      <c r="K11" s="234"/>
      <c r="L11" s="235"/>
      <c r="M11" s="67"/>
      <c r="N11" s="232"/>
      <c r="O11" s="233"/>
      <c r="P11" s="232"/>
      <c r="Q11" s="233"/>
      <c r="R11" s="232"/>
      <c r="S11" s="233"/>
      <c r="T11" s="234"/>
      <c r="U11" s="235"/>
      <c r="V11" s="67"/>
      <c r="W11" s="236"/>
      <c r="X11" s="236"/>
      <c r="Y11" s="236"/>
    </row>
    <row r="12" spans="1:25" s="59" customFormat="1" ht="15.75" customHeight="1">
      <c r="A12" s="241">
        <v>4</v>
      </c>
      <c r="B12" s="119">
        <v>7</v>
      </c>
      <c r="C12" s="122" t="s">
        <v>439</v>
      </c>
      <c r="D12" s="119" t="s">
        <v>22</v>
      </c>
      <c r="E12" s="164"/>
      <c r="F12" s="261"/>
      <c r="G12" s="232"/>
      <c r="H12" s="233"/>
      <c r="I12" s="232"/>
      <c r="J12" s="233"/>
      <c r="K12" s="234"/>
      <c r="L12" s="235"/>
      <c r="M12" s="67"/>
      <c r="N12" s="232"/>
      <c r="O12" s="233"/>
      <c r="P12" s="232"/>
      <c r="Q12" s="233"/>
      <c r="R12" s="232"/>
      <c r="S12" s="233"/>
      <c r="T12" s="234"/>
      <c r="U12" s="235"/>
      <c r="V12" s="67"/>
      <c r="W12" s="236"/>
      <c r="X12" s="236"/>
      <c r="Y12" s="236"/>
    </row>
    <row r="13" spans="1:25" s="59" customFormat="1" ht="15.75" customHeight="1">
      <c r="A13" s="241">
        <v>5</v>
      </c>
      <c r="B13" s="119">
        <v>9</v>
      </c>
      <c r="C13" s="122" t="s">
        <v>440</v>
      </c>
      <c r="D13" s="119" t="s">
        <v>92</v>
      </c>
      <c r="E13" s="270"/>
      <c r="F13" s="271"/>
      <c r="G13" s="366"/>
      <c r="H13" s="367"/>
      <c r="I13" s="366"/>
      <c r="J13" s="367"/>
      <c r="K13" s="368"/>
      <c r="L13" s="369"/>
      <c r="M13" s="67"/>
      <c r="N13" s="366"/>
      <c r="O13" s="367"/>
      <c r="P13" s="366"/>
      <c r="Q13" s="367"/>
      <c r="R13" s="366"/>
      <c r="S13" s="367"/>
      <c r="T13" s="368"/>
      <c r="U13" s="369"/>
      <c r="V13" s="67"/>
      <c r="W13" s="68"/>
      <c r="X13" s="68"/>
      <c r="Y13" s="68"/>
    </row>
    <row r="14" spans="1:25" s="59" customFormat="1" ht="15.75" customHeight="1">
      <c r="A14" s="202"/>
      <c r="B14" s="267"/>
      <c r="C14" s="268" t="s">
        <v>375</v>
      </c>
      <c r="D14" s="269" t="s">
        <v>361</v>
      </c>
      <c r="E14" s="206"/>
      <c r="F14" s="207"/>
      <c r="G14" s="366"/>
      <c r="H14" s="367"/>
      <c r="I14" s="366"/>
      <c r="J14" s="367"/>
      <c r="K14" s="368"/>
      <c r="L14" s="369"/>
      <c r="M14" s="67"/>
      <c r="N14" s="366"/>
      <c r="O14" s="367"/>
      <c r="P14" s="366"/>
      <c r="Q14" s="367"/>
      <c r="R14" s="366"/>
      <c r="S14" s="367"/>
      <c r="T14" s="368"/>
      <c r="U14" s="369"/>
      <c r="V14" s="67"/>
      <c r="W14" s="68"/>
      <c r="X14" s="68"/>
      <c r="Y14" s="68"/>
    </row>
    <row r="15" spans="1:25" s="59" customFormat="1" ht="15.75" customHeight="1">
      <c r="A15" s="202">
        <v>6</v>
      </c>
      <c r="B15" s="119">
        <v>11</v>
      </c>
      <c r="C15" s="122" t="s">
        <v>441</v>
      </c>
      <c r="D15" s="119" t="s">
        <v>19</v>
      </c>
      <c r="E15" s="203"/>
      <c r="F15" s="204"/>
      <c r="G15" s="270"/>
      <c r="H15" s="271"/>
      <c r="I15" s="270"/>
      <c r="J15" s="271"/>
      <c r="K15" s="284"/>
      <c r="L15" s="285"/>
      <c r="M15" s="67"/>
      <c r="N15" s="270"/>
      <c r="O15" s="271"/>
      <c r="P15" s="270"/>
      <c r="Q15" s="271"/>
      <c r="R15" s="270"/>
      <c r="S15" s="271"/>
      <c r="T15" s="284"/>
      <c r="U15" s="285"/>
      <c r="V15" s="67"/>
      <c r="W15" s="68"/>
      <c r="X15" s="68"/>
      <c r="Y15" s="68"/>
    </row>
    <row r="16" spans="1:25" s="59" customFormat="1" ht="15.75" customHeight="1">
      <c r="A16" s="202"/>
      <c r="B16" s="119"/>
      <c r="C16" s="120" t="s">
        <v>376</v>
      </c>
      <c r="D16" s="205" t="s">
        <v>362</v>
      </c>
      <c r="E16" s="206"/>
      <c r="F16" s="207"/>
      <c r="G16" s="366"/>
      <c r="H16" s="367"/>
      <c r="I16" s="366"/>
      <c r="J16" s="367"/>
      <c r="K16" s="368"/>
      <c r="L16" s="369"/>
      <c r="M16" s="67"/>
      <c r="N16" s="366"/>
      <c r="O16" s="367"/>
      <c r="P16" s="366"/>
      <c r="Q16" s="367"/>
      <c r="R16" s="366"/>
      <c r="S16" s="367"/>
      <c r="T16" s="368"/>
      <c r="U16" s="369"/>
      <c r="V16" s="67"/>
      <c r="W16" s="68"/>
      <c r="X16" s="68"/>
      <c r="Y16" s="68"/>
    </row>
    <row r="17" spans="1:25" s="59" customFormat="1" ht="15.75" customHeight="1">
      <c r="A17" s="202"/>
      <c r="B17" s="65"/>
      <c r="C17" s="122"/>
      <c r="D17" s="210"/>
      <c r="E17" s="209"/>
      <c r="F17" s="208"/>
      <c r="G17" s="366"/>
      <c r="H17" s="367"/>
      <c r="I17" s="366"/>
      <c r="J17" s="367"/>
      <c r="K17" s="368"/>
      <c r="L17" s="369"/>
      <c r="M17" s="67"/>
      <c r="N17" s="366"/>
      <c r="O17" s="367"/>
      <c r="P17" s="366"/>
      <c r="Q17" s="367"/>
      <c r="R17" s="366"/>
      <c r="S17" s="367"/>
      <c r="T17" s="368"/>
      <c r="U17" s="369"/>
      <c r="V17" s="67"/>
      <c r="W17" s="68"/>
      <c r="X17" s="68"/>
      <c r="Y17" s="68"/>
    </row>
    <row r="18" spans="1:25" s="59" customFormat="1" ht="15.75" customHeight="1">
      <c r="A18" s="202"/>
      <c r="B18" s="119"/>
      <c r="C18" s="120" t="s">
        <v>377</v>
      </c>
      <c r="D18" s="205" t="s">
        <v>363</v>
      </c>
      <c r="E18" s="206"/>
      <c r="F18" s="207"/>
      <c r="G18" s="366"/>
      <c r="H18" s="367"/>
      <c r="I18" s="366"/>
      <c r="J18" s="367"/>
      <c r="K18" s="368"/>
      <c r="L18" s="369"/>
      <c r="M18" s="67"/>
      <c r="N18" s="366"/>
      <c r="O18" s="367"/>
      <c r="P18" s="366"/>
      <c r="Q18" s="367"/>
      <c r="R18" s="366"/>
      <c r="S18" s="367"/>
      <c r="T18" s="368"/>
      <c r="U18" s="369"/>
      <c r="V18" s="67"/>
      <c r="W18" s="68"/>
      <c r="X18" s="68"/>
      <c r="Y18" s="68"/>
    </row>
    <row r="19" spans="1:25" s="59" customFormat="1" ht="15.75" customHeight="1">
      <c r="A19" s="60"/>
      <c r="B19" s="119"/>
      <c r="C19" s="119"/>
      <c r="D19" s="119"/>
      <c r="E19" s="270"/>
      <c r="F19" s="271"/>
      <c r="G19" s="366"/>
      <c r="H19" s="367"/>
      <c r="I19" s="366"/>
      <c r="J19" s="367"/>
      <c r="K19" s="368"/>
      <c r="L19" s="369"/>
      <c r="M19" s="67"/>
      <c r="N19" s="366"/>
      <c r="O19" s="367"/>
      <c r="P19" s="366"/>
      <c r="Q19" s="367"/>
      <c r="R19" s="366"/>
      <c r="S19" s="367"/>
      <c r="T19" s="368"/>
      <c r="U19" s="369"/>
      <c r="V19" s="67"/>
      <c r="W19" s="68"/>
      <c r="X19" s="68"/>
      <c r="Y19" s="68"/>
    </row>
    <row r="20" spans="1:25" s="59" customFormat="1" ht="15.75" customHeight="1">
      <c r="A20" s="60"/>
      <c r="B20" s="65"/>
      <c r="C20" s="66"/>
      <c r="D20" s="66"/>
      <c r="E20" s="366"/>
      <c r="F20" s="367"/>
      <c r="G20" s="366"/>
      <c r="H20" s="367"/>
      <c r="I20" s="366"/>
      <c r="J20" s="367"/>
      <c r="K20" s="368"/>
      <c r="L20" s="369"/>
      <c r="M20" s="67"/>
      <c r="N20" s="366"/>
      <c r="O20" s="367"/>
      <c r="P20" s="366"/>
      <c r="Q20" s="367"/>
      <c r="R20" s="366"/>
      <c r="S20" s="367"/>
      <c r="T20" s="368"/>
      <c r="U20" s="369"/>
      <c r="V20" s="67"/>
      <c r="W20" s="68"/>
      <c r="X20" s="68"/>
      <c r="Y20" s="68"/>
    </row>
    <row r="21" spans="1:25" s="59" customFormat="1" ht="15.75" customHeight="1">
      <c r="A21" s="212"/>
      <c r="B21" s="213"/>
      <c r="C21" s="214"/>
      <c r="D21" s="214"/>
      <c r="E21" s="215"/>
      <c r="F21" s="215"/>
      <c r="G21" s="215"/>
      <c r="H21" s="215"/>
      <c r="I21" s="215"/>
      <c r="J21" s="215"/>
      <c r="K21" s="216"/>
      <c r="L21" s="216"/>
      <c r="M21" s="217"/>
      <c r="N21" s="215"/>
      <c r="O21" s="215"/>
      <c r="P21" s="215"/>
      <c r="Q21" s="215"/>
      <c r="R21" s="215"/>
      <c r="S21" s="215"/>
      <c r="T21" s="216"/>
      <c r="U21" s="216"/>
      <c r="V21" s="217"/>
      <c r="W21" s="216"/>
      <c r="X21" s="216"/>
      <c r="Y21" s="216"/>
    </row>
    <row r="22" spans="1:4" s="59" customFormat="1" ht="12.75">
      <c r="A22" s="69"/>
      <c r="C22" s="70"/>
      <c r="D22" s="70"/>
    </row>
    <row r="23" spans="1:25" s="59" customFormat="1" ht="12.75">
      <c r="A23" s="394" t="s">
        <v>172</v>
      </c>
      <c r="B23" s="395"/>
      <c r="C23" s="395"/>
      <c r="D23" s="395"/>
      <c r="E23" s="395"/>
      <c r="F23" s="395"/>
      <c r="G23" s="341" t="s">
        <v>172</v>
      </c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7"/>
      <c r="S23" s="354" t="s">
        <v>173</v>
      </c>
      <c r="T23" s="360"/>
      <c r="U23" s="360"/>
      <c r="V23" s="360"/>
      <c r="W23" s="360"/>
      <c r="X23" s="360"/>
      <c r="Y23" s="361"/>
    </row>
    <row r="24" spans="1:25" s="59" customFormat="1" ht="12.75">
      <c r="A24" s="60" t="s">
        <v>0</v>
      </c>
      <c r="B24" s="60" t="s">
        <v>174</v>
      </c>
      <c r="C24" s="60" t="s">
        <v>156</v>
      </c>
      <c r="D24" s="60" t="s">
        <v>157</v>
      </c>
      <c r="E24" s="353" t="s">
        <v>175</v>
      </c>
      <c r="F24" s="353"/>
      <c r="G24" s="63" t="s">
        <v>0</v>
      </c>
      <c r="H24" s="64" t="s">
        <v>174</v>
      </c>
      <c r="I24" s="354" t="s">
        <v>156</v>
      </c>
      <c r="J24" s="360"/>
      <c r="K24" s="360"/>
      <c r="L24" s="361"/>
      <c r="M24" s="391" t="s">
        <v>157</v>
      </c>
      <c r="N24" s="392"/>
      <c r="O24" s="392"/>
      <c r="P24" s="393"/>
      <c r="Q24" s="354" t="s">
        <v>175</v>
      </c>
      <c r="R24" s="361"/>
      <c r="S24" s="72"/>
      <c r="T24" s="73"/>
      <c r="U24" s="73"/>
      <c r="V24" s="57"/>
      <c r="W24" s="57"/>
      <c r="X24" s="57"/>
      <c r="Y24" s="58"/>
    </row>
    <row r="25" spans="1:25" s="59" customFormat="1" ht="15.75" customHeight="1">
      <c r="A25" s="60">
        <v>1</v>
      </c>
      <c r="B25" s="71"/>
      <c r="C25" s="74"/>
      <c r="D25" s="74"/>
      <c r="E25" s="384"/>
      <c r="F25" s="385"/>
      <c r="G25" s="247">
        <v>9</v>
      </c>
      <c r="H25" s="71"/>
      <c r="I25" s="386"/>
      <c r="J25" s="387"/>
      <c r="K25" s="387"/>
      <c r="L25" s="388"/>
      <c r="M25" s="386"/>
      <c r="N25" s="387"/>
      <c r="O25" s="387"/>
      <c r="P25" s="388"/>
      <c r="Q25" s="384"/>
      <c r="R25" s="385"/>
      <c r="S25" s="76"/>
      <c r="T25" s="77"/>
      <c r="U25" s="77"/>
      <c r="V25" s="78"/>
      <c r="W25" s="78"/>
      <c r="X25" s="78"/>
      <c r="Y25" s="79"/>
    </row>
    <row r="26" spans="1:25" s="59" customFormat="1" ht="15.75" customHeight="1">
      <c r="A26" s="60">
        <v>2</v>
      </c>
      <c r="B26" s="71"/>
      <c r="C26" s="74"/>
      <c r="D26" s="74"/>
      <c r="E26" s="384"/>
      <c r="F26" s="385"/>
      <c r="G26" s="247">
        <v>10</v>
      </c>
      <c r="H26" s="71"/>
      <c r="I26" s="386"/>
      <c r="J26" s="387"/>
      <c r="K26" s="387"/>
      <c r="L26" s="388"/>
      <c r="M26" s="386"/>
      <c r="N26" s="387"/>
      <c r="O26" s="387"/>
      <c r="P26" s="388"/>
      <c r="Q26" s="389"/>
      <c r="R26" s="390"/>
      <c r="S26" s="72"/>
      <c r="T26" s="73"/>
      <c r="U26" s="73"/>
      <c r="V26" s="57"/>
      <c r="W26" s="57"/>
      <c r="X26" s="57"/>
      <c r="Y26" s="58"/>
    </row>
    <row r="27" spans="1:25" s="59" customFormat="1" ht="15.75" customHeight="1">
      <c r="A27" s="60">
        <v>3</v>
      </c>
      <c r="B27" s="71"/>
      <c r="C27" s="74"/>
      <c r="D27" s="74"/>
      <c r="E27" s="384"/>
      <c r="F27" s="385"/>
      <c r="G27" s="247">
        <v>11</v>
      </c>
      <c r="H27" s="71"/>
      <c r="I27" s="386"/>
      <c r="J27" s="387"/>
      <c r="K27" s="387"/>
      <c r="L27" s="388"/>
      <c r="M27" s="386"/>
      <c r="N27" s="387"/>
      <c r="O27" s="387"/>
      <c r="P27" s="388"/>
      <c r="Q27" s="389"/>
      <c r="R27" s="390"/>
      <c r="S27" s="76"/>
      <c r="T27" s="77"/>
      <c r="U27" s="77"/>
      <c r="V27" s="78"/>
      <c r="W27" s="78"/>
      <c r="X27" s="78"/>
      <c r="Y27" s="79"/>
    </row>
    <row r="28" spans="1:25" s="59" customFormat="1" ht="15.75" customHeight="1">
      <c r="A28" s="60">
        <v>4</v>
      </c>
      <c r="B28" s="71"/>
      <c r="C28" s="74"/>
      <c r="D28" s="74"/>
      <c r="E28" s="384"/>
      <c r="F28" s="385"/>
      <c r="G28" s="247">
        <v>12</v>
      </c>
      <c r="H28" s="71"/>
      <c r="I28" s="386"/>
      <c r="J28" s="387"/>
      <c r="K28" s="387"/>
      <c r="L28" s="388"/>
      <c r="M28" s="386"/>
      <c r="N28" s="387"/>
      <c r="O28" s="387"/>
      <c r="P28" s="388"/>
      <c r="Q28" s="389"/>
      <c r="R28" s="390"/>
      <c r="S28" s="72"/>
      <c r="T28" s="73"/>
      <c r="U28" s="73"/>
      <c r="V28" s="73"/>
      <c r="W28" s="73"/>
      <c r="X28" s="73"/>
      <c r="Y28" s="280"/>
    </row>
    <row r="29" spans="1:25" s="59" customFormat="1" ht="15.75" customHeight="1">
      <c r="A29" s="60">
        <v>5</v>
      </c>
      <c r="B29" s="71"/>
      <c r="C29" s="74"/>
      <c r="D29" s="74"/>
      <c r="E29" s="384"/>
      <c r="F29" s="385"/>
      <c r="G29" s="247">
        <v>13</v>
      </c>
      <c r="H29" s="71"/>
      <c r="I29" s="386"/>
      <c r="J29" s="387"/>
      <c r="K29" s="387"/>
      <c r="L29" s="388"/>
      <c r="M29" s="386"/>
      <c r="N29" s="387"/>
      <c r="O29" s="387"/>
      <c r="P29" s="388"/>
      <c r="Q29" s="389"/>
      <c r="R29" s="390"/>
      <c r="S29" s="281"/>
      <c r="T29" s="69"/>
      <c r="U29" s="69"/>
      <c r="V29" s="69"/>
      <c r="W29" s="69"/>
      <c r="X29" s="69"/>
      <c r="Y29" s="282"/>
    </row>
    <row r="30" spans="1:25" s="59" customFormat="1" ht="15.75" customHeight="1">
      <c r="A30" s="60">
        <v>6</v>
      </c>
      <c r="B30" s="71"/>
      <c r="C30" s="74"/>
      <c r="D30" s="74"/>
      <c r="E30" s="384"/>
      <c r="F30" s="385"/>
      <c r="G30" s="247">
        <v>14</v>
      </c>
      <c r="H30" s="71"/>
      <c r="I30" s="386"/>
      <c r="J30" s="387"/>
      <c r="K30" s="387"/>
      <c r="L30" s="388"/>
      <c r="M30" s="386"/>
      <c r="N30" s="387"/>
      <c r="O30" s="387"/>
      <c r="P30" s="388"/>
      <c r="Q30" s="389"/>
      <c r="R30" s="390"/>
      <c r="S30" s="354" t="s">
        <v>176</v>
      </c>
      <c r="T30" s="360"/>
      <c r="U30" s="360"/>
      <c r="V30" s="360"/>
      <c r="W30" s="360"/>
      <c r="X30" s="360"/>
      <c r="Y30" s="361"/>
    </row>
    <row r="31" spans="1:25" s="59" customFormat="1" ht="15.75" customHeight="1">
      <c r="A31" s="247">
        <v>7</v>
      </c>
      <c r="B31" s="249"/>
      <c r="C31" s="74"/>
      <c r="D31" s="74"/>
      <c r="E31" s="404"/>
      <c r="F31" s="404"/>
      <c r="G31" s="247">
        <v>15</v>
      </c>
      <c r="H31" s="249"/>
      <c r="I31" s="242"/>
      <c r="J31" s="243"/>
      <c r="K31" s="243"/>
      <c r="L31" s="244"/>
      <c r="M31" s="242"/>
      <c r="N31" s="243"/>
      <c r="O31" s="243"/>
      <c r="P31" s="244"/>
      <c r="Q31" s="245"/>
      <c r="R31" s="246"/>
      <c r="S31" s="272"/>
      <c r="T31" s="272"/>
      <c r="U31" s="272"/>
      <c r="V31" s="272"/>
      <c r="W31" s="272"/>
      <c r="X31" s="272"/>
      <c r="Y31" s="273"/>
    </row>
    <row r="32" spans="1:25" ht="15.75" customHeight="1">
      <c r="A32" s="283">
        <v>8</v>
      </c>
      <c r="B32" s="167"/>
      <c r="C32" s="167"/>
      <c r="D32" s="167"/>
      <c r="E32" s="405"/>
      <c r="F32" s="406"/>
      <c r="G32" s="283">
        <v>16</v>
      </c>
      <c r="H32" s="167"/>
      <c r="I32" s="274"/>
      <c r="J32" s="275"/>
      <c r="K32" s="275"/>
      <c r="L32" s="276"/>
      <c r="M32" s="277"/>
      <c r="N32" s="278"/>
      <c r="O32" s="278"/>
      <c r="P32" s="279"/>
      <c r="Q32" s="277"/>
      <c r="R32" s="279"/>
      <c r="S32" s="275"/>
      <c r="T32" s="275"/>
      <c r="U32" s="275"/>
      <c r="V32" s="275"/>
      <c r="W32" s="275"/>
      <c r="X32" s="275"/>
      <c r="Y32" s="276"/>
    </row>
    <row r="34" spans="1:25" s="59" customFormat="1" ht="20.25">
      <c r="A34" s="336" t="s">
        <v>147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8"/>
    </row>
    <row r="35" spans="1:25" s="59" customFormat="1" ht="15.75" customHeight="1">
      <c r="A35" s="339" t="s">
        <v>148</v>
      </c>
      <c r="B35" s="340"/>
      <c r="C35" s="341" t="s">
        <v>177</v>
      </c>
      <c r="D35" s="342"/>
      <c r="E35" s="339" t="s">
        <v>149</v>
      </c>
      <c r="F35" s="343"/>
      <c r="G35" s="340"/>
      <c r="H35" s="341" t="s">
        <v>360</v>
      </c>
      <c r="I35" s="344"/>
      <c r="J35" s="345"/>
      <c r="K35" s="345"/>
      <c r="L35" s="346"/>
      <c r="M35" s="347" t="s">
        <v>150</v>
      </c>
      <c r="N35" s="348"/>
      <c r="O35" s="349"/>
      <c r="P35" s="350" t="s">
        <v>368</v>
      </c>
      <c r="Q35" s="351"/>
      <c r="R35" s="351"/>
      <c r="S35" s="351"/>
      <c r="T35" s="351"/>
      <c r="U35" s="351"/>
      <c r="V35" s="351"/>
      <c r="W35" s="351"/>
      <c r="X35" s="351"/>
      <c r="Y35" s="352"/>
    </row>
    <row r="36" spans="1:25" s="59" customFormat="1" ht="15.75" customHeight="1">
      <c r="A36" s="339" t="s">
        <v>179</v>
      </c>
      <c r="B36" s="340"/>
      <c r="C36" s="377" t="s">
        <v>188</v>
      </c>
      <c r="D36" s="378"/>
      <c r="E36" s="339" t="s">
        <v>151</v>
      </c>
      <c r="F36" s="343"/>
      <c r="G36" s="340"/>
      <c r="H36" s="379" t="s">
        <v>189</v>
      </c>
      <c r="I36" s="380"/>
      <c r="J36" s="339" t="s">
        <v>152</v>
      </c>
      <c r="K36" s="343"/>
      <c r="L36" s="340"/>
      <c r="M36" s="381"/>
      <c r="N36" s="375"/>
      <c r="O36" s="376"/>
      <c r="P36" s="373" t="s">
        <v>153</v>
      </c>
      <c r="Q36" s="374"/>
      <c r="R36" s="375"/>
      <c r="S36" s="375"/>
      <c r="T36" s="375" t="e">
        <f>VLOOKUP(I34,eventslist,4,FALSE)</f>
        <v>#NAME?</v>
      </c>
      <c r="U36" s="375"/>
      <c r="V36" s="375" t="e">
        <f>VLOOKUP(K34,eventslist,4,FALSE)</f>
        <v>#NAME?</v>
      </c>
      <c r="W36" s="375"/>
      <c r="X36" s="375" t="e">
        <f>VLOOKUP(M34,eventslist,4,FALSE)</f>
        <v>#NAME?</v>
      </c>
      <c r="Y36" s="376"/>
    </row>
    <row r="37" spans="1:25" s="59" customFormat="1" ht="31.5" customHeight="1">
      <c r="A37" s="60" t="s">
        <v>154</v>
      </c>
      <c r="B37" s="60" t="s">
        <v>155</v>
      </c>
      <c r="C37" s="61" t="s">
        <v>156</v>
      </c>
      <c r="D37" s="62" t="s">
        <v>157</v>
      </c>
      <c r="E37" s="362" t="s">
        <v>158</v>
      </c>
      <c r="F37" s="357"/>
      <c r="G37" s="357" t="s">
        <v>159</v>
      </c>
      <c r="H37" s="357"/>
      <c r="I37" s="357" t="s">
        <v>160</v>
      </c>
      <c r="J37" s="357"/>
      <c r="K37" s="357" t="s">
        <v>161</v>
      </c>
      <c r="L37" s="357"/>
      <c r="M37" s="355" t="s">
        <v>162</v>
      </c>
      <c r="N37" s="357" t="s">
        <v>163</v>
      </c>
      <c r="O37" s="357"/>
      <c r="P37" s="357" t="s">
        <v>164</v>
      </c>
      <c r="Q37" s="357"/>
      <c r="R37" s="357" t="s">
        <v>165</v>
      </c>
      <c r="S37" s="357"/>
      <c r="T37" s="357" t="s">
        <v>166</v>
      </c>
      <c r="U37" s="358"/>
      <c r="V37" s="359" t="s">
        <v>167</v>
      </c>
      <c r="W37" s="354" t="s">
        <v>168</v>
      </c>
      <c r="X37" s="360"/>
      <c r="Y37" s="361"/>
    </row>
    <row r="38" spans="1:25" s="59" customFormat="1" ht="12.75">
      <c r="A38" s="63"/>
      <c r="B38" s="63"/>
      <c r="C38" s="120" t="s">
        <v>378</v>
      </c>
      <c r="D38" s="370" t="s">
        <v>369</v>
      </c>
      <c r="E38" s="371"/>
      <c r="F38" s="372"/>
      <c r="G38" s="353" t="s">
        <v>169</v>
      </c>
      <c r="H38" s="353"/>
      <c r="I38" s="353" t="s">
        <v>169</v>
      </c>
      <c r="J38" s="353"/>
      <c r="K38" s="353" t="s">
        <v>169</v>
      </c>
      <c r="L38" s="353"/>
      <c r="M38" s="356"/>
      <c r="N38" s="353" t="s">
        <v>169</v>
      </c>
      <c r="O38" s="353"/>
      <c r="P38" s="353" t="s">
        <v>169</v>
      </c>
      <c r="Q38" s="353"/>
      <c r="R38" s="353" t="s">
        <v>169</v>
      </c>
      <c r="S38" s="353"/>
      <c r="T38" s="353" t="s">
        <v>169</v>
      </c>
      <c r="U38" s="354"/>
      <c r="V38" s="355"/>
      <c r="W38" s="60"/>
      <c r="X38" s="60" t="s">
        <v>170</v>
      </c>
      <c r="Y38" s="60" t="s">
        <v>171</v>
      </c>
    </row>
    <row r="39" spans="1:25" s="59" customFormat="1" ht="15.75" customHeight="1">
      <c r="A39" s="63">
        <v>1</v>
      </c>
      <c r="B39" s="119">
        <v>1</v>
      </c>
      <c r="C39" s="122" t="s">
        <v>458</v>
      </c>
      <c r="D39" s="122" t="s">
        <v>20</v>
      </c>
      <c r="E39" s="270"/>
      <c r="F39" s="238"/>
      <c r="G39" s="270"/>
      <c r="H39" s="271"/>
      <c r="I39" s="270"/>
      <c r="J39" s="271"/>
      <c r="K39" s="284"/>
      <c r="L39" s="285"/>
      <c r="M39" s="67"/>
      <c r="N39" s="270"/>
      <c r="O39" s="271"/>
      <c r="P39" s="270"/>
      <c r="Q39" s="271"/>
      <c r="R39" s="270"/>
      <c r="S39" s="271"/>
      <c r="T39" s="284"/>
      <c r="U39" s="285"/>
      <c r="V39" s="67"/>
      <c r="W39" s="68"/>
      <c r="X39" s="68"/>
      <c r="Y39" s="68"/>
    </row>
    <row r="40" spans="1:25" s="59" customFormat="1" ht="15.75" customHeight="1">
      <c r="A40" s="60">
        <v>2</v>
      </c>
      <c r="B40" s="119">
        <v>2</v>
      </c>
      <c r="C40" s="122" t="s">
        <v>459</v>
      </c>
      <c r="D40" s="122" t="s">
        <v>20</v>
      </c>
      <c r="E40" s="270"/>
      <c r="F40" s="271"/>
      <c r="G40" s="270"/>
      <c r="H40" s="271"/>
      <c r="I40" s="270"/>
      <c r="J40" s="271"/>
      <c r="K40" s="284"/>
      <c r="L40" s="285"/>
      <c r="M40" s="67"/>
      <c r="N40" s="270"/>
      <c r="O40" s="271"/>
      <c r="P40" s="270"/>
      <c r="Q40" s="271"/>
      <c r="R40" s="270"/>
      <c r="S40" s="271"/>
      <c r="T40" s="284"/>
      <c r="U40" s="285"/>
      <c r="V40" s="67"/>
      <c r="W40" s="68"/>
      <c r="X40" s="68"/>
      <c r="Y40" s="68"/>
    </row>
    <row r="41" spans="1:25" s="59" customFormat="1" ht="15.75" customHeight="1">
      <c r="A41" s="60">
        <v>3</v>
      </c>
      <c r="B41" s="119">
        <v>3</v>
      </c>
      <c r="C41" s="122" t="s">
        <v>460</v>
      </c>
      <c r="D41" s="122" t="s">
        <v>16</v>
      </c>
      <c r="E41" s="270"/>
      <c r="F41" s="271"/>
      <c r="G41" s="270"/>
      <c r="H41" s="271"/>
      <c r="I41" s="270"/>
      <c r="J41" s="271"/>
      <c r="K41" s="284"/>
      <c r="L41" s="285"/>
      <c r="M41" s="67"/>
      <c r="N41" s="270"/>
      <c r="O41" s="271"/>
      <c r="P41" s="270"/>
      <c r="Q41" s="271"/>
      <c r="R41" s="270"/>
      <c r="S41" s="271"/>
      <c r="T41" s="284"/>
      <c r="U41" s="285"/>
      <c r="V41" s="67"/>
      <c r="W41" s="68"/>
      <c r="X41" s="68"/>
      <c r="Y41" s="68"/>
    </row>
    <row r="42" spans="1:25" s="59" customFormat="1" ht="15.75" customHeight="1">
      <c r="A42" s="60">
        <v>4</v>
      </c>
      <c r="B42" s="119">
        <v>4</v>
      </c>
      <c r="C42" s="122" t="s">
        <v>461</v>
      </c>
      <c r="D42" s="122" t="s">
        <v>16</v>
      </c>
      <c r="E42" s="270"/>
      <c r="F42" s="271"/>
      <c r="G42" s="270"/>
      <c r="H42" s="271"/>
      <c r="I42" s="270"/>
      <c r="J42" s="271"/>
      <c r="K42" s="284"/>
      <c r="L42" s="285"/>
      <c r="M42" s="67"/>
      <c r="N42" s="270"/>
      <c r="O42" s="271"/>
      <c r="P42" s="270"/>
      <c r="Q42" s="271"/>
      <c r="R42" s="270"/>
      <c r="S42" s="271"/>
      <c r="T42" s="284"/>
      <c r="U42" s="285"/>
      <c r="V42" s="67"/>
      <c r="W42" s="68"/>
      <c r="X42" s="68"/>
      <c r="Y42" s="68"/>
    </row>
    <row r="43" spans="1:25" s="59" customFormat="1" ht="15.75" customHeight="1">
      <c r="A43" s="60">
        <v>5</v>
      </c>
      <c r="B43" s="119">
        <v>5</v>
      </c>
      <c r="C43" s="122" t="s">
        <v>462</v>
      </c>
      <c r="D43" s="122" t="s">
        <v>18</v>
      </c>
      <c r="E43" s="270"/>
      <c r="F43" s="271"/>
      <c r="G43" s="270"/>
      <c r="H43" s="271"/>
      <c r="I43" s="270"/>
      <c r="J43" s="271"/>
      <c r="K43" s="284"/>
      <c r="L43" s="285"/>
      <c r="M43" s="67"/>
      <c r="N43" s="270"/>
      <c r="O43" s="271"/>
      <c r="P43" s="270"/>
      <c r="Q43" s="271"/>
      <c r="R43" s="270"/>
      <c r="S43" s="271"/>
      <c r="T43" s="284"/>
      <c r="U43" s="285"/>
      <c r="V43" s="67"/>
      <c r="W43" s="68"/>
      <c r="X43" s="68"/>
      <c r="Y43" s="68"/>
    </row>
    <row r="44" spans="1:25" s="59" customFormat="1" ht="15.75" customHeight="1">
      <c r="A44" s="60">
        <v>6</v>
      </c>
      <c r="B44" s="119">
        <v>6</v>
      </c>
      <c r="C44" s="122" t="s">
        <v>463</v>
      </c>
      <c r="D44" s="122" t="s">
        <v>18</v>
      </c>
      <c r="E44" s="270"/>
      <c r="F44" s="271"/>
      <c r="G44" s="270"/>
      <c r="H44" s="271"/>
      <c r="I44" s="270"/>
      <c r="J44" s="271"/>
      <c r="K44" s="284"/>
      <c r="L44" s="285"/>
      <c r="M44" s="67"/>
      <c r="N44" s="270"/>
      <c r="O44" s="271"/>
      <c r="P44" s="270"/>
      <c r="Q44" s="271"/>
      <c r="R44" s="270"/>
      <c r="S44" s="271"/>
      <c r="T44" s="284"/>
      <c r="U44" s="285"/>
      <c r="V44" s="67"/>
      <c r="W44" s="68"/>
      <c r="X44" s="68"/>
      <c r="Y44" s="68"/>
    </row>
    <row r="45" spans="1:25" s="59" customFormat="1" ht="15.75" customHeight="1">
      <c r="A45" s="60">
        <v>7</v>
      </c>
      <c r="B45" s="119">
        <v>7</v>
      </c>
      <c r="C45" s="122" t="s">
        <v>464</v>
      </c>
      <c r="D45" s="122" t="s">
        <v>22</v>
      </c>
      <c r="E45" s="270"/>
      <c r="F45" s="271"/>
      <c r="G45" s="270"/>
      <c r="H45" s="271"/>
      <c r="I45" s="270"/>
      <c r="J45" s="271"/>
      <c r="K45" s="284"/>
      <c r="L45" s="285"/>
      <c r="M45" s="67"/>
      <c r="N45" s="270"/>
      <c r="O45" s="271"/>
      <c r="P45" s="270"/>
      <c r="Q45" s="271"/>
      <c r="R45" s="270"/>
      <c r="S45" s="271"/>
      <c r="T45" s="284"/>
      <c r="U45" s="285"/>
      <c r="V45" s="67"/>
      <c r="W45" s="68"/>
      <c r="X45" s="68"/>
      <c r="Y45" s="68"/>
    </row>
    <row r="46" spans="1:25" s="59" customFormat="1" ht="15.75" customHeight="1">
      <c r="A46" s="60">
        <v>8</v>
      </c>
      <c r="B46" s="119">
        <v>9</v>
      </c>
      <c r="C46" s="122" t="s">
        <v>465</v>
      </c>
      <c r="D46" s="122" t="s">
        <v>92</v>
      </c>
      <c r="E46" s="270"/>
      <c r="F46" s="271"/>
      <c r="G46" s="270"/>
      <c r="H46" s="271"/>
      <c r="I46" s="270"/>
      <c r="J46" s="271"/>
      <c r="K46" s="284"/>
      <c r="L46" s="285"/>
      <c r="M46" s="67"/>
      <c r="N46" s="270"/>
      <c r="O46" s="271"/>
      <c r="P46" s="270"/>
      <c r="Q46" s="271"/>
      <c r="R46" s="270"/>
      <c r="S46" s="271"/>
      <c r="T46" s="284"/>
      <c r="U46" s="285"/>
      <c r="V46" s="67"/>
      <c r="W46" s="68"/>
      <c r="X46" s="68"/>
      <c r="Y46" s="68"/>
    </row>
    <row r="47" spans="1:25" s="59" customFormat="1" ht="15.75" customHeight="1">
      <c r="A47" s="60">
        <v>9</v>
      </c>
      <c r="B47" s="119">
        <v>10</v>
      </c>
      <c r="C47" s="122" t="s">
        <v>466</v>
      </c>
      <c r="D47" s="122" t="s">
        <v>92</v>
      </c>
      <c r="E47" s="270"/>
      <c r="F47" s="271"/>
      <c r="G47" s="270"/>
      <c r="H47" s="271"/>
      <c r="I47" s="270"/>
      <c r="J47" s="271"/>
      <c r="K47" s="284"/>
      <c r="L47" s="285"/>
      <c r="M47" s="67"/>
      <c r="N47" s="270"/>
      <c r="O47" s="271"/>
      <c r="P47" s="270"/>
      <c r="Q47" s="271"/>
      <c r="R47" s="270"/>
      <c r="S47" s="271"/>
      <c r="T47" s="284"/>
      <c r="U47" s="285"/>
      <c r="V47" s="67"/>
      <c r="W47" s="68"/>
      <c r="X47" s="68"/>
      <c r="Y47" s="68"/>
    </row>
    <row r="48" spans="1:25" s="59" customFormat="1" ht="15.75" customHeight="1">
      <c r="A48" s="60">
        <v>10</v>
      </c>
      <c r="B48" s="119">
        <v>11</v>
      </c>
      <c r="C48" s="122" t="s">
        <v>467</v>
      </c>
      <c r="D48" s="122" t="s">
        <v>19</v>
      </c>
      <c r="E48" s="270"/>
      <c r="F48" s="271"/>
      <c r="G48" s="270"/>
      <c r="H48" s="271"/>
      <c r="I48" s="270"/>
      <c r="J48" s="271"/>
      <c r="K48" s="284"/>
      <c r="L48" s="285"/>
      <c r="M48" s="67"/>
      <c r="N48" s="270"/>
      <c r="O48" s="271"/>
      <c r="P48" s="270"/>
      <c r="Q48" s="271"/>
      <c r="R48" s="270"/>
      <c r="S48" s="271"/>
      <c r="T48" s="284"/>
      <c r="U48" s="285"/>
      <c r="V48" s="67"/>
      <c r="W48" s="68"/>
      <c r="X48" s="68"/>
      <c r="Y48" s="68"/>
    </row>
    <row r="49" spans="1:25" s="59" customFormat="1" ht="15.75" customHeight="1">
      <c r="A49" s="231">
        <v>11</v>
      </c>
      <c r="B49" s="119">
        <v>12</v>
      </c>
      <c r="C49" s="119" t="s">
        <v>469</v>
      </c>
      <c r="D49" s="122" t="s">
        <v>19</v>
      </c>
      <c r="E49" s="232"/>
      <c r="F49" s="233"/>
      <c r="G49" s="232"/>
      <c r="H49" s="233"/>
      <c r="I49" s="232"/>
      <c r="J49" s="233"/>
      <c r="K49" s="234"/>
      <c r="L49" s="235"/>
      <c r="M49" s="67"/>
      <c r="N49" s="232"/>
      <c r="O49" s="233"/>
      <c r="P49" s="232"/>
      <c r="Q49" s="233"/>
      <c r="R49" s="232"/>
      <c r="S49" s="233"/>
      <c r="T49" s="234"/>
      <c r="U49" s="235"/>
      <c r="V49" s="67"/>
      <c r="W49" s="236"/>
      <c r="X49" s="236"/>
      <c r="Y49" s="236"/>
    </row>
    <row r="50" spans="1:25" s="59" customFormat="1" ht="15.75" customHeight="1">
      <c r="A50" s="231">
        <v>12</v>
      </c>
      <c r="B50" s="119">
        <v>8</v>
      </c>
      <c r="C50" s="119" t="s">
        <v>468</v>
      </c>
      <c r="D50" s="122" t="s">
        <v>22</v>
      </c>
      <c r="E50" s="232"/>
      <c r="F50" s="233"/>
      <c r="G50" s="232"/>
      <c r="H50" s="233"/>
      <c r="I50" s="232"/>
      <c r="J50" s="233"/>
      <c r="K50" s="234"/>
      <c r="L50" s="235"/>
      <c r="M50" s="67"/>
      <c r="N50" s="232"/>
      <c r="O50" s="233"/>
      <c r="P50" s="232"/>
      <c r="Q50" s="233"/>
      <c r="R50" s="232"/>
      <c r="S50" s="233"/>
      <c r="T50" s="234"/>
      <c r="U50" s="235"/>
      <c r="V50" s="67"/>
      <c r="W50" s="236"/>
      <c r="X50" s="236"/>
      <c r="Y50" s="236"/>
    </row>
    <row r="51" spans="1:25" s="59" customFormat="1" ht="15.75" customHeight="1">
      <c r="A51" s="60"/>
      <c r="B51" s="122"/>
      <c r="C51" s="122"/>
      <c r="D51" s="122"/>
      <c r="E51" s="366"/>
      <c r="F51" s="367"/>
      <c r="G51" s="366"/>
      <c r="H51" s="367"/>
      <c r="I51" s="366"/>
      <c r="J51" s="367"/>
      <c r="K51" s="368"/>
      <c r="L51" s="369"/>
      <c r="M51" s="67"/>
      <c r="N51" s="366"/>
      <c r="O51" s="367"/>
      <c r="P51" s="366"/>
      <c r="Q51" s="367"/>
      <c r="R51" s="366"/>
      <c r="S51" s="367"/>
      <c r="T51" s="368"/>
      <c r="U51" s="369"/>
      <c r="V51" s="67"/>
      <c r="W51" s="68"/>
      <c r="X51" s="68"/>
      <c r="Y51" s="68"/>
    </row>
    <row r="52" spans="1:25" s="59" customFormat="1" ht="15.75" customHeight="1">
      <c r="A52" s="60"/>
      <c r="B52" s="119"/>
      <c r="C52" s="120" t="s">
        <v>379</v>
      </c>
      <c r="D52" s="370" t="s">
        <v>303</v>
      </c>
      <c r="E52" s="371"/>
      <c r="F52" s="372"/>
      <c r="G52" s="366"/>
      <c r="H52" s="367"/>
      <c r="I52" s="366"/>
      <c r="J52" s="367"/>
      <c r="K52" s="368"/>
      <c r="L52" s="369"/>
      <c r="M52" s="67"/>
      <c r="N52" s="366"/>
      <c r="O52" s="367"/>
      <c r="P52" s="366"/>
      <c r="Q52" s="367"/>
      <c r="R52" s="366"/>
      <c r="S52" s="367"/>
      <c r="T52" s="368"/>
      <c r="U52" s="369"/>
      <c r="V52" s="67"/>
      <c r="W52" s="68"/>
      <c r="X52" s="68"/>
      <c r="Y52" s="68"/>
    </row>
    <row r="53" spans="1:25" s="59" customFormat="1" ht="15.75" customHeight="1">
      <c r="A53" s="60">
        <v>13</v>
      </c>
      <c r="B53" s="119">
        <v>3</v>
      </c>
      <c r="C53" s="119" t="s">
        <v>470</v>
      </c>
      <c r="D53" s="122" t="s">
        <v>16</v>
      </c>
      <c r="E53" s="270"/>
      <c r="F53" s="271"/>
      <c r="G53" s="270"/>
      <c r="H53" s="271"/>
      <c r="I53" s="270"/>
      <c r="J53" s="271"/>
      <c r="K53" s="284"/>
      <c r="L53" s="285"/>
      <c r="M53" s="67"/>
      <c r="N53" s="270"/>
      <c r="O53" s="271"/>
      <c r="P53" s="270"/>
      <c r="Q53" s="271"/>
      <c r="R53" s="270"/>
      <c r="S53" s="271"/>
      <c r="T53" s="284"/>
      <c r="U53" s="285"/>
      <c r="V53" s="67"/>
      <c r="W53" s="68"/>
      <c r="X53" s="68"/>
      <c r="Y53" s="68"/>
    </row>
    <row r="54" spans="1:25" s="59" customFormat="1" ht="15.75" customHeight="1">
      <c r="A54" s="60">
        <v>14</v>
      </c>
      <c r="B54" s="119">
        <v>11</v>
      </c>
      <c r="C54" s="119" t="s">
        <v>471</v>
      </c>
      <c r="D54" s="122" t="s">
        <v>19</v>
      </c>
      <c r="E54" s="270"/>
      <c r="F54" s="271"/>
      <c r="G54" s="270"/>
      <c r="H54" s="271"/>
      <c r="I54" s="270"/>
      <c r="J54" s="271"/>
      <c r="K54" s="284"/>
      <c r="L54" s="285"/>
      <c r="M54" s="67"/>
      <c r="N54" s="270"/>
      <c r="O54" s="271"/>
      <c r="P54" s="270"/>
      <c r="Q54" s="271"/>
      <c r="R54" s="270"/>
      <c r="S54" s="271"/>
      <c r="T54" s="284"/>
      <c r="U54" s="285"/>
      <c r="V54" s="67"/>
      <c r="W54" s="68"/>
      <c r="X54" s="68"/>
      <c r="Y54" s="68"/>
    </row>
    <row r="55" spans="1:25" s="59" customFormat="1" ht="15.75" customHeight="1">
      <c r="A55" s="60"/>
      <c r="B55" s="190"/>
      <c r="C55" s="191"/>
      <c r="D55" s="191"/>
      <c r="E55" s="366"/>
      <c r="F55" s="367"/>
      <c r="G55" s="366"/>
      <c r="H55" s="367"/>
      <c r="I55" s="366"/>
      <c r="J55" s="367"/>
      <c r="K55" s="368"/>
      <c r="L55" s="369"/>
      <c r="M55" s="67"/>
      <c r="N55" s="366"/>
      <c r="O55" s="367"/>
      <c r="P55" s="366"/>
      <c r="Q55" s="367"/>
      <c r="R55" s="366"/>
      <c r="S55" s="367"/>
      <c r="T55" s="368"/>
      <c r="U55" s="369"/>
      <c r="V55" s="67"/>
      <c r="W55" s="68"/>
      <c r="X55" s="68"/>
      <c r="Y55" s="68"/>
    </row>
    <row r="56" spans="1:4" s="59" customFormat="1" ht="12.75">
      <c r="A56" s="69"/>
      <c r="C56" s="70"/>
      <c r="D56" s="70"/>
    </row>
    <row r="57" spans="1:25" s="59" customFormat="1" ht="12.75">
      <c r="A57" s="394" t="s">
        <v>172</v>
      </c>
      <c r="B57" s="395"/>
      <c r="C57" s="395"/>
      <c r="D57" s="395"/>
      <c r="E57" s="395"/>
      <c r="F57" s="395"/>
      <c r="G57" s="341" t="s">
        <v>172</v>
      </c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7"/>
      <c r="S57" s="354" t="s">
        <v>173</v>
      </c>
      <c r="T57" s="360"/>
      <c r="U57" s="360"/>
      <c r="V57" s="360"/>
      <c r="W57" s="360"/>
      <c r="X57" s="360"/>
      <c r="Y57" s="361"/>
    </row>
    <row r="58" spans="1:25" s="59" customFormat="1" ht="12.75">
      <c r="A58" s="60" t="s">
        <v>0</v>
      </c>
      <c r="B58" s="60" t="s">
        <v>174</v>
      </c>
      <c r="C58" s="60" t="s">
        <v>156</v>
      </c>
      <c r="D58" s="60" t="s">
        <v>157</v>
      </c>
      <c r="E58" s="353" t="s">
        <v>175</v>
      </c>
      <c r="F58" s="353"/>
      <c r="G58" s="63" t="s">
        <v>0</v>
      </c>
      <c r="H58" s="64" t="s">
        <v>174</v>
      </c>
      <c r="I58" s="354" t="s">
        <v>156</v>
      </c>
      <c r="J58" s="360"/>
      <c r="K58" s="360"/>
      <c r="L58" s="361"/>
      <c r="M58" s="391" t="s">
        <v>157</v>
      </c>
      <c r="N58" s="392"/>
      <c r="O58" s="392"/>
      <c r="P58" s="393"/>
      <c r="Q58" s="354" t="s">
        <v>175</v>
      </c>
      <c r="R58" s="361"/>
      <c r="S58" s="72"/>
      <c r="T58" s="73"/>
      <c r="U58" s="73"/>
      <c r="V58" s="57"/>
      <c r="W58" s="57"/>
      <c r="X58" s="57"/>
      <c r="Y58" s="58"/>
    </row>
    <row r="59" spans="1:25" s="59" customFormat="1" ht="15.75" customHeight="1">
      <c r="A59" s="60">
        <v>1</v>
      </c>
      <c r="B59" s="71"/>
      <c r="C59" s="74"/>
      <c r="D59" s="74"/>
      <c r="E59" s="384"/>
      <c r="F59" s="385"/>
      <c r="G59" s="247">
        <v>9</v>
      </c>
      <c r="H59" s="71"/>
      <c r="I59" s="386"/>
      <c r="J59" s="387"/>
      <c r="K59" s="387"/>
      <c r="L59" s="388"/>
      <c r="M59" s="386"/>
      <c r="N59" s="387"/>
      <c r="O59" s="387"/>
      <c r="P59" s="388"/>
      <c r="Q59" s="384"/>
      <c r="R59" s="385"/>
      <c r="S59" s="76"/>
      <c r="T59" s="77"/>
      <c r="U59" s="77"/>
      <c r="V59" s="78"/>
      <c r="W59" s="78"/>
      <c r="X59" s="78"/>
      <c r="Y59" s="79"/>
    </row>
    <row r="60" spans="1:25" s="59" customFormat="1" ht="15.75" customHeight="1">
      <c r="A60" s="60">
        <v>2</v>
      </c>
      <c r="B60" s="71"/>
      <c r="C60" s="74"/>
      <c r="D60" s="74"/>
      <c r="E60" s="384"/>
      <c r="F60" s="385"/>
      <c r="G60" s="247">
        <v>10</v>
      </c>
      <c r="H60" s="71"/>
      <c r="I60" s="386"/>
      <c r="J60" s="387"/>
      <c r="K60" s="387"/>
      <c r="L60" s="388"/>
      <c r="M60" s="386"/>
      <c r="N60" s="387"/>
      <c r="O60" s="387"/>
      <c r="P60" s="388"/>
      <c r="Q60" s="389"/>
      <c r="R60" s="390"/>
      <c r="S60" s="72"/>
      <c r="T60" s="73"/>
      <c r="U60" s="73"/>
      <c r="V60" s="57"/>
      <c r="W60" s="57"/>
      <c r="X60" s="57"/>
      <c r="Y60" s="58"/>
    </row>
    <row r="61" spans="1:25" s="59" customFormat="1" ht="15.75" customHeight="1">
      <c r="A61" s="60">
        <v>3</v>
      </c>
      <c r="B61" s="71"/>
      <c r="C61" s="74"/>
      <c r="D61" s="74"/>
      <c r="E61" s="384"/>
      <c r="F61" s="385"/>
      <c r="G61" s="247">
        <v>11</v>
      </c>
      <c r="H61" s="71"/>
      <c r="I61" s="386"/>
      <c r="J61" s="387"/>
      <c r="K61" s="387"/>
      <c r="L61" s="388"/>
      <c r="M61" s="386"/>
      <c r="N61" s="387"/>
      <c r="O61" s="387"/>
      <c r="P61" s="388"/>
      <c r="Q61" s="389"/>
      <c r="R61" s="390"/>
      <c r="S61" s="76"/>
      <c r="T61" s="77"/>
      <c r="U61" s="77"/>
      <c r="V61" s="78"/>
      <c r="W61" s="78"/>
      <c r="X61" s="78"/>
      <c r="Y61" s="79"/>
    </row>
    <row r="62" spans="1:25" s="59" customFormat="1" ht="15.75" customHeight="1">
      <c r="A62" s="60">
        <v>4</v>
      </c>
      <c r="B62" s="71"/>
      <c r="C62" s="74"/>
      <c r="D62" s="74"/>
      <c r="E62" s="384"/>
      <c r="F62" s="385"/>
      <c r="G62" s="247">
        <v>12</v>
      </c>
      <c r="H62" s="71"/>
      <c r="I62" s="386"/>
      <c r="J62" s="387"/>
      <c r="K62" s="387"/>
      <c r="L62" s="388"/>
      <c r="M62" s="386"/>
      <c r="N62" s="387"/>
      <c r="O62" s="387"/>
      <c r="P62" s="388"/>
      <c r="Q62" s="389"/>
      <c r="R62" s="390"/>
      <c r="S62" s="72"/>
      <c r="T62" s="73"/>
      <c r="U62" s="73"/>
      <c r="V62" s="57"/>
      <c r="W62" s="57"/>
      <c r="X62" s="57"/>
      <c r="Y62" s="58"/>
    </row>
    <row r="63" spans="1:25" s="59" customFormat="1" ht="15.75" customHeight="1">
      <c r="A63" s="60">
        <v>5</v>
      </c>
      <c r="B63" s="71"/>
      <c r="C63" s="74"/>
      <c r="D63" s="74"/>
      <c r="E63" s="384"/>
      <c r="F63" s="385"/>
      <c r="G63" s="247">
        <v>13</v>
      </c>
      <c r="H63" s="71"/>
      <c r="I63" s="386"/>
      <c r="J63" s="387"/>
      <c r="K63" s="387"/>
      <c r="L63" s="388"/>
      <c r="M63" s="386"/>
      <c r="N63" s="387"/>
      <c r="O63" s="387"/>
      <c r="P63" s="388"/>
      <c r="Q63" s="389"/>
      <c r="R63" s="390"/>
      <c r="S63" s="76"/>
      <c r="T63" s="77"/>
      <c r="U63" s="77"/>
      <c r="V63" s="78"/>
      <c r="W63" s="78"/>
      <c r="X63" s="78"/>
      <c r="Y63" s="79"/>
    </row>
    <row r="64" spans="1:25" s="59" customFormat="1" ht="15.75" customHeight="1">
      <c r="A64" s="60">
        <v>6</v>
      </c>
      <c r="B64" s="71"/>
      <c r="C64" s="74"/>
      <c r="D64" s="74"/>
      <c r="E64" s="384"/>
      <c r="F64" s="385"/>
      <c r="G64" s="247">
        <v>14</v>
      </c>
      <c r="H64" s="71"/>
      <c r="I64" s="386"/>
      <c r="J64" s="387"/>
      <c r="K64" s="387"/>
      <c r="L64" s="388"/>
      <c r="M64" s="386"/>
      <c r="N64" s="387"/>
      <c r="O64" s="387"/>
      <c r="P64" s="388"/>
      <c r="Q64" s="389"/>
      <c r="R64" s="390"/>
      <c r="S64" s="354" t="s">
        <v>176</v>
      </c>
      <c r="T64" s="360"/>
      <c r="U64" s="360"/>
      <c r="V64" s="360"/>
      <c r="W64" s="360"/>
      <c r="X64" s="360"/>
      <c r="Y64" s="361"/>
    </row>
    <row r="65" spans="1:25" s="59" customFormat="1" ht="15.75" customHeight="1">
      <c r="A65" s="60">
        <v>7</v>
      </c>
      <c r="B65" s="71"/>
      <c r="C65" s="74"/>
      <c r="D65" s="74"/>
      <c r="E65" s="384"/>
      <c r="F65" s="385"/>
      <c r="G65" s="247">
        <v>15</v>
      </c>
      <c r="H65" s="71"/>
      <c r="I65" s="386"/>
      <c r="J65" s="387"/>
      <c r="K65" s="387"/>
      <c r="L65" s="388"/>
      <c r="M65" s="386"/>
      <c r="N65" s="387"/>
      <c r="O65" s="387"/>
      <c r="P65" s="388"/>
      <c r="Q65" s="389"/>
      <c r="R65" s="390"/>
      <c r="S65" s="72"/>
      <c r="T65" s="73"/>
      <c r="U65" s="73"/>
      <c r="V65" s="57"/>
      <c r="W65" s="57"/>
      <c r="X65" s="57"/>
      <c r="Y65" s="58"/>
    </row>
    <row r="66" spans="1:25" s="59" customFormat="1" ht="15.75" customHeight="1">
      <c r="A66" s="60">
        <v>8</v>
      </c>
      <c r="B66" s="71"/>
      <c r="C66" s="74"/>
      <c r="D66" s="74"/>
      <c r="E66" s="384"/>
      <c r="F66" s="385"/>
      <c r="G66" s="247">
        <v>16</v>
      </c>
      <c r="H66" s="71"/>
      <c r="I66" s="386"/>
      <c r="J66" s="387"/>
      <c r="K66" s="387"/>
      <c r="L66" s="388"/>
      <c r="M66" s="386"/>
      <c r="N66" s="387"/>
      <c r="O66" s="387"/>
      <c r="P66" s="388"/>
      <c r="Q66" s="389"/>
      <c r="R66" s="390"/>
      <c r="S66" s="76"/>
      <c r="T66" s="77"/>
      <c r="U66" s="77"/>
      <c r="V66" s="78"/>
      <c r="W66" s="78"/>
      <c r="X66" s="78"/>
      <c r="Y66" s="79"/>
    </row>
    <row r="69" spans="1:25" s="59" customFormat="1" ht="20.25">
      <c r="A69" s="336" t="s">
        <v>147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8"/>
    </row>
    <row r="70" spans="1:25" s="59" customFormat="1" ht="15.75" customHeight="1">
      <c r="A70" s="339" t="s">
        <v>148</v>
      </c>
      <c r="B70" s="340"/>
      <c r="C70" s="341" t="s">
        <v>177</v>
      </c>
      <c r="D70" s="342"/>
      <c r="E70" s="339" t="s">
        <v>149</v>
      </c>
      <c r="F70" s="343"/>
      <c r="G70" s="340"/>
      <c r="H70" s="341" t="s">
        <v>360</v>
      </c>
      <c r="I70" s="344"/>
      <c r="J70" s="345"/>
      <c r="K70" s="345"/>
      <c r="L70" s="346"/>
      <c r="M70" s="347" t="s">
        <v>150</v>
      </c>
      <c r="N70" s="348"/>
      <c r="O70" s="349"/>
      <c r="P70" s="350" t="s">
        <v>368</v>
      </c>
      <c r="Q70" s="351"/>
      <c r="R70" s="351"/>
      <c r="S70" s="351"/>
      <c r="T70" s="351"/>
      <c r="U70" s="351"/>
      <c r="V70" s="351"/>
      <c r="W70" s="351"/>
      <c r="X70" s="351"/>
      <c r="Y70" s="352"/>
    </row>
    <row r="71" spans="1:25" s="59" customFormat="1" ht="15.75" customHeight="1">
      <c r="A71" s="339" t="s">
        <v>179</v>
      </c>
      <c r="B71" s="340"/>
      <c r="C71" s="377" t="s">
        <v>190</v>
      </c>
      <c r="D71" s="378"/>
      <c r="E71" s="339" t="s">
        <v>151</v>
      </c>
      <c r="F71" s="343"/>
      <c r="G71" s="340"/>
      <c r="H71" s="379" t="s">
        <v>191</v>
      </c>
      <c r="I71" s="380"/>
      <c r="J71" s="339" t="s">
        <v>152</v>
      </c>
      <c r="K71" s="343"/>
      <c r="L71" s="340"/>
      <c r="M71" s="381"/>
      <c r="N71" s="375"/>
      <c r="O71" s="376"/>
      <c r="P71" s="373" t="s">
        <v>153</v>
      </c>
      <c r="Q71" s="374"/>
      <c r="R71" s="375"/>
      <c r="S71" s="375"/>
      <c r="T71" s="375" t="e">
        <f>VLOOKUP(I69,eventslist,4,FALSE)</f>
        <v>#NAME?</v>
      </c>
      <c r="U71" s="375"/>
      <c r="V71" s="375" t="e">
        <f>VLOOKUP(K69,eventslist,4,FALSE)</f>
        <v>#NAME?</v>
      </c>
      <c r="W71" s="375"/>
      <c r="X71" s="375" t="e">
        <f>VLOOKUP(M69,eventslist,4,FALSE)</f>
        <v>#NAME?</v>
      </c>
      <c r="Y71" s="376"/>
    </row>
    <row r="72" spans="1:25" s="59" customFormat="1" ht="31.5" customHeight="1">
      <c r="A72" s="60" t="s">
        <v>154</v>
      </c>
      <c r="B72" s="60" t="s">
        <v>155</v>
      </c>
      <c r="C72" s="61" t="s">
        <v>156</v>
      </c>
      <c r="D72" s="62" t="s">
        <v>157</v>
      </c>
      <c r="E72" s="362" t="s">
        <v>158</v>
      </c>
      <c r="F72" s="357"/>
      <c r="G72" s="357" t="s">
        <v>159</v>
      </c>
      <c r="H72" s="357"/>
      <c r="I72" s="357" t="s">
        <v>160</v>
      </c>
      <c r="J72" s="357"/>
      <c r="K72" s="357" t="s">
        <v>161</v>
      </c>
      <c r="L72" s="357"/>
      <c r="M72" s="355" t="s">
        <v>162</v>
      </c>
      <c r="N72" s="357" t="s">
        <v>163</v>
      </c>
      <c r="O72" s="357"/>
      <c r="P72" s="357" t="s">
        <v>164</v>
      </c>
      <c r="Q72" s="357"/>
      <c r="R72" s="357" t="s">
        <v>165</v>
      </c>
      <c r="S72" s="357"/>
      <c r="T72" s="357" t="s">
        <v>166</v>
      </c>
      <c r="U72" s="358"/>
      <c r="V72" s="359" t="s">
        <v>167</v>
      </c>
      <c r="W72" s="354" t="s">
        <v>168</v>
      </c>
      <c r="X72" s="360"/>
      <c r="Y72" s="361"/>
    </row>
    <row r="73" spans="1:25" s="59" customFormat="1" ht="12.75">
      <c r="A73" s="63"/>
      <c r="B73" s="63"/>
      <c r="C73" s="120" t="s">
        <v>380</v>
      </c>
      <c r="D73" s="370" t="s">
        <v>305</v>
      </c>
      <c r="E73" s="371"/>
      <c r="F73" s="372"/>
      <c r="G73" s="353" t="s">
        <v>169</v>
      </c>
      <c r="H73" s="353"/>
      <c r="I73" s="353" t="s">
        <v>169</v>
      </c>
      <c r="J73" s="353"/>
      <c r="K73" s="353" t="s">
        <v>169</v>
      </c>
      <c r="L73" s="353"/>
      <c r="M73" s="356"/>
      <c r="N73" s="353" t="s">
        <v>169</v>
      </c>
      <c r="O73" s="353"/>
      <c r="P73" s="353" t="s">
        <v>169</v>
      </c>
      <c r="Q73" s="353"/>
      <c r="R73" s="353" t="s">
        <v>169</v>
      </c>
      <c r="S73" s="353"/>
      <c r="T73" s="353" t="s">
        <v>169</v>
      </c>
      <c r="U73" s="354"/>
      <c r="V73" s="355"/>
      <c r="W73" s="60"/>
      <c r="X73" s="60" t="s">
        <v>170</v>
      </c>
      <c r="Y73" s="60" t="s">
        <v>171</v>
      </c>
    </row>
    <row r="74" spans="1:25" s="59" customFormat="1" ht="15.75" customHeight="1">
      <c r="A74" s="63">
        <v>1</v>
      </c>
      <c r="B74" s="119">
        <v>1</v>
      </c>
      <c r="C74" s="122" t="s">
        <v>472</v>
      </c>
      <c r="D74" s="122" t="s">
        <v>20</v>
      </c>
      <c r="E74" s="270"/>
      <c r="F74" s="271"/>
      <c r="G74" s="270"/>
      <c r="H74" s="271"/>
      <c r="I74" s="270"/>
      <c r="J74" s="238"/>
      <c r="K74" s="284"/>
      <c r="L74" s="285"/>
      <c r="M74" s="67"/>
      <c r="N74" s="270"/>
      <c r="O74" s="271"/>
      <c r="P74" s="270"/>
      <c r="Q74" s="271"/>
      <c r="R74" s="270"/>
      <c r="S74" s="271"/>
      <c r="T74" s="284"/>
      <c r="U74" s="285"/>
      <c r="V74" s="67"/>
      <c r="W74" s="68"/>
      <c r="X74" s="68"/>
      <c r="Y74" s="68"/>
    </row>
    <row r="75" spans="1:25" s="59" customFormat="1" ht="15.75" customHeight="1">
      <c r="A75" s="60">
        <v>2</v>
      </c>
      <c r="B75" s="119">
        <v>2</v>
      </c>
      <c r="C75" s="122" t="s">
        <v>473</v>
      </c>
      <c r="D75" s="122" t="s">
        <v>20</v>
      </c>
      <c r="E75" s="270"/>
      <c r="F75" s="271"/>
      <c r="G75" s="270"/>
      <c r="H75" s="271"/>
      <c r="I75" s="270"/>
      <c r="J75" s="271"/>
      <c r="K75" s="284"/>
      <c r="L75" s="285"/>
      <c r="M75" s="67"/>
      <c r="N75" s="270"/>
      <c r="O75" s="271"/>
      <c r="P75" s="270"/>
      <c r="Q75" s="271"/>
      <c r="R75" s="270"/>
      <c r="S75" s="271"/>
      <c r="T75" s="284"/>
      <c r="U75" s="285"/>
      <c r="V75" s="67"/>
      <c r="W75" s="68"/>
      <c r="X75" s="68"/>
      <c r="Y75" s="68"/>
    </row>
    <row r="76" spans="1:25" s="59" customFormat="1" ht="15.75" customHeight="1">
      <c r="A76" s="60">
        <v>3</v>
      </c>
      <c r="B76" s="119">
        <v>3</v>
      </c>
      <c r="C76" s="122" t="s">
        <v>474</v>
      </c>
      <c r="D76" s="122" t="s">
        <v>16</v>
      </c>
      <c r="E76" s="270"/>
      <c r="F76" s="271"/>
      <c r="G76" s="270"/>
      <c r="H76" s="271"/>
      <c r="I76" s="270"/>
      <c r="J76" s="271"/>
      <c r="K76" s="284"/>
      <c r="L76" s="285"/>
      <c r="M76" s="67"/>
      <c r="N76" s="270"/>
      <c r="O76" s="271"/>
      <c r="P76" s="270"/>
      <c r="Q76" s="271"/>
      <c r="R76" s="270"/>
      <c r="S76" s="271"/>
      <c r="T76" s="284"/>
      <c r="U76" s="285"/>
      <c r="V76" s="67"/>
      <c r="W76" s="68"/>
      <c r="X76" s="68"/>
      <c r="Y76" s="68"/>
    </row>
    <row r="77" spans="1:25" s="59" customFormat="1" ht="15.75" customHeight="1">
      <c r="A77" s="60">
        <v>4</v>
      </c>
      <c r="B77" s="119">
        <v>4</v>
      </c>
      <c r="C77" s="122" t="s">
        <v>475</v>
      </c>
      <c r="D77" s="122" t="s">
        <v>16</v>
      </c>
      <c r="E77" s="270"/>
      <c r="F77" s="271"/>
      <c r="G77" s="270"/>
      <c r="H77" s="271"/>
      <c r="I77" s="270"/>
      <c r="J77" s="271"/>
      <c r="K77" s="284"/>
      <c r="L77" s="285"/>
      <c r="M77" s="67"/>
      <c r="N77" s="270"/>
      <c r="O77" s="271"/>
      <c r="P77" s="270"/>
      <c r="Q77" s="271"/>
      <c r="R77" s="270"/>
      <c r="S77" s="271"/>
      <c r="T77" s="284"/>
      <c r="U77" s="285"/>
      <c r="V77" s="67"/>
      <c r="W77" s="68"/>
      <c r="X77" s="68"/>
      <c r="Y77" s="68"/>
    </row>
    <row r="78" spans="1:25" s="59" customFormat="1" ht="15.75" customHeight="1">
      <c r="A78" s="60">
        <v>5</v>
      </c>
      <c r="B78" s="119">
        <v>5</v>
      </c>
      <c r="C78" s="122" t="s">
        <v>476</v>
      </c>
      <c r="D78" s="122" t="s">
        <v>18</v>
      </c>
      <c r="E78" s="270"/>
      <c r="F78" s="271"/>
      <c r="G78" s="270"/>
      <c r="H78" s="271"/>
      <c r="I78" s="270"/>
      <c r="J78" s="271"/>
      <c r="K78" s="284"/>
      <c r="L78" s="285"/>
      <c r="M78" s="67"/>
      <c r="N78" s="270"/>
      <c r="O78" s="271"/>
      <c r="P78" s="270"/>
      <c r="Q78" s="271"/>
      <c r="R78" s="270"/>
      <c r="S78" s="271"/>
      <c r="T78" s="284"/>
      <c r="U78" s="285"/>
      <c r="V78" s="67"/>
      <c r="W78" s="68"/>
      <c r="X78" s="68"/>
      <c r="Y78" s="68"/>
    </row>
    <row r="79" spans="1:25" s="59" customFormat="1" ht="15.75" customHeight="1">
      <c r="A79" s="60">
        <v>6</v>
      </c>
      <c r="B79" s="119">
        <v>6</v>
      </c>
      <c r="C79" s="122" t="s">
        <v>477</v>
      </c>
      <c r="D79" s="122" t="s">
        <v>18</v>
      </c>
      <c r="E79" s="270"/>
      <c r="F79" s="271"/>
      <c r="G79" s="270"/>
      <c r="H79" s="271"/>
      <c r="I79" s="270"/>
      <c r="J79" s="271"/>
      <c r="K79" s="284"/>
      <c r="L79" s="285"/>
      <c r="M79" s="67"/>
      <c r="N79" s="270"/>
      <c r="O79" s="271"/>
      <c r="P79" s="270"/>
      <c r="Q79" s="271"/>
      <c r="R79" s="270"/>
      <c r="S79" s="271"/>
      <c r="T79" s="284"/>
      <c r="U79" s="285"/>
      <c r="V79" s="67"/>
      <c r="W79" s="68"/>
      <c r="X79" s="68"/>
      <c r="Y79" s="68"/>
    </row>
    <row r="80" spans="1:25" s="59" customFormat="1" ht="15.75" customHeight="1">
      <c r="A80" s="60"/>
      <c r="B80" s="119"/>
      <c r="C80" s="122"/>
      <c r="D80" s="122"/>
      <c r="E80" s="366"/>
      <c r="F80" s="367"/>
      <c r="G80" s="366"/>
      <c r="H80" s="367"/>
      <c r="I80" s="366"/>
      <c r="J80" s="367"/>
      <c r="K80" s="368"/>
      <c r="L80" s="369"/>
      <c r="M80" s="67"/>
      <c r="N80" s="366"/>
      <c r="O80" s="367"/>
      <c r="P80" s="366"/>
      <c r="Q80" s="367"/>
      <c r="R80" s="366"/>
      <c r="S80" s="367"/>
      <c r="T80" s="368"/>
      <c r="U80" s="369"/>
      <c r="V80" s="67"/>
      <c r="W80" s="68"/>
      <c r="X80" s="68"/>
      <c r="Y80" s="68"/>
    </row>
    <row r="81" spans="1:25" s="59" customFormat="1" ht="15.75" customHeight="1">
      <c r="A81" s="60"/>
      <c r="B81" s="119"/>
      <c r="C81" s="122"/>
      <c r="D81" s="122"/>
      <c r="E81" s="366"/>
      <c r="F81" s="367"/>
      <c r="G81" s="366"/>
      <c r="H81" s="367"/>
      <c r="I81" s="366"/>
      <c r="J81" s="367"/>
      <c r="K81" s="368"/>
      <c r="L81" s="369"/>
      <c r="M81" s="67"/>
      <c r="N81" s="366"/>
      <c r="O81" s="367"/>
      <c r="P81" s="366"/>
      <c r="Q81" s="367"/>
      <c r="R81" s="366"/>
      <c r="S81" s="367"/>
      <c r="T81" s="368"/>
      <c r="U81" s="369"/>
      <c r="V81" s="67"/>
      <c r="W81" s="68"/>
      <c r="X81" s="68"/>
      <c r="Y81" s="68"/>
    </row>
    <row r="82" spans="1:25" s="59" customFormat="1" ht="15.75" customHeight="1">
      <c r="A82" s="60"/>
      <c r="B82" s="119"/>
      <c r="C82" s="192"/>
      <c r="D82" s="193"/>
      <c r="E82" s="400"/>
      <c r="F82" s="401"/>
      <c r="G82" s="366"/>
      <c r="H82" s="367"/>
      <c r="I82" s="366"/>
      <c r="J82" s="367"/>
      <c r="K82" s="368"/>
      <c r="L82" s="369"/>
      <c r="M82" s="67"/>
      <c r="N82" s="366"/>
      <c r="O82" s="367"/>
      <c r="P82" s="366"/>
      <c r="Q82" s="367"/>
      <c r="R82" s="366"/>
      <c r="S82" s="367"/>
      <c r="T82" s="368"/>
      <c r="U82" s="369"/>
      <c r="V82" s="67"/>
      <c r="W82" s="68"/>
      <c r="X82" s="68"/>
      <c r="Y82" s="68"/>
    </row>
    <row r="83" spans="1:25" s="59" customFormat="1" ht="15.75" customHeight="1">
      <c r="A83" s="60"/>
      <c r="B83" s="119"/>
      <c r="C83" s="122"/>
      <c r="D83" s="122"/>
      <c r="E83" s="366"/>
      <c r="F83" s="367"/>
      <c r="G83" s="366"/>
      <c r="H83" s="367"/>
      <c r="I83" s="366"/>
      <c r="J83" s="367"/>
      <c r="K83" s="368"/>
      <c r="L83" s="369"/>
      <c r="M83" s="67"/>
      <c r="N83" s="366"/>
      <c r="O83" s="367"/>
      <c r="P83" s="366"/>
      <c r="Q83" s="367"/>
      <c r="R83" s="366"/>
      <c r="S83" s="367"/>
      <c r="T83" s="368"/>
      <c r="U83" s="369"/>
      <c r="V83" s="67"/>
      <c r="W83" s="68"/>
      <c r="X83" s="68"/>
      <c r="Y83" s="68"/>
    </row>
    <row r="84" spans="1:25" s="59" customFormat="1" ht="15.75" customHeight="1">
      <c r="A84" s="196"/>
      <c r="B84" s="119"/>
      <c r="C84" s="122"/>
      <c r="D84" s="122"/>
      <c r="E84" s="366"/>
      <c r="F84" s="367"/>
      <c r="G84" s="366"/>
      <c r="H84" s="367"/>
      <c r="I84" s="366"/>
      <c r="J84" s="367"/>
      <c r="K84" s="368"/>
      <c r="L84" s="369"/>
      <c r="M84" s="67"/>
      <c r="N84" s="366"/>
      <c r="O84" s="367"/>
      <c r="P84" s="366"/>
      <c r="Q84" s="367"/>
      <c r="R84" s="366"/>
      <c r="S84" s="367"/>
      <c r="T84" s="368"/>
      <c r="U84" s="369"/>
      <c r="V84" s="67"/>
      <c r="W84" s="68"/>
      <c r="X84" s="68"/>
      <c r="Y84" s="68"/>
    </row>
    <row r="85" spans="1:25" s="59" customFormat="1" ht="15.75" customHeight="1">
      <c r="A85" s="60"/>
      <c r="B85" s="119"/>
      <c r="C85" s="120" t="s">
        <v>381</v>
      </c>
      <c r="D85" s="370" t="s">
        <v>304</v>
      </c>
      <c r="E85" s="371"/>
      <c r="F85" s="372"/>
      <c r="G85" s="366"/>
      <c r="H85" s="367"/>
      <c r="I85" s="366"/>
      <c r="J85" s="367"/>
      <c r="K85" s="368"/>
      <c r="L85" s="369"/>
      <c r="M85" s="67"/>
      <c r="N85" s="366"/>
      <c r="O85" s="367"/>
      <c r="P85" s="366"/>
      <c r="Q85" s="367"/>
      <c r="R85" s="366"/>
      <c r="S85" s="367"/>
      <c r="T85" s="368"/>
      <c r="U85" s="369"/>
      <c r="V85" s="67"/>
      <c r="W85" s="68"/>
      <c r="X85" s="68"/>
      <c r="Y85" s="68"/>
    </row>
    <row r="86" spans="1:25" s="59" customFormat="1" ht="15.75" customHeight="1">
      <c r="A86" s="60">
        <v>7</v>
      </c>
      <c r="B86" s="119">
        <v>9</v>
      </c>
      <c r="C86" s="122" t="s">
        <v>478</v>
      </c>
      <c r="D86" s="122" t="s">
        <v>92</v>
      </c>
      <c r="E86" s="270"/>
      <c r="F86" s="271"/>
      <c r="G86" s="270"/>
      <c r="H86" s="271"/>
      <c r="I86" s="270"/>
      <c r="J86" s="271"/>
      <c r="K86" s="284"/>
      <c r="L86" s="285"/>
      <c r="M86" s="67"/>
      <c r="N86" s="270"/>
      <c r="O86" s="271"/>
      <c r="P86" s="270"/>
      <c r="Q86" s="271"/>
      <c r="R86" s="270"/>
      <c r="S86" s="271"/>
      <c r="T86" s="284"/>
      <c r="U86" s="285"/>
      <c r="V86" s="67"/>
      <c r="W86" s="68"/>
      <c r="X86" s="68"/>
      <c r="Y86" s="68"/>
    </row>
    <row r="87" spans="1:25" s="59" customFormat="1" ht="15.75" customHeight="1">
      <c r="A87" s="60">
        <v>8</v>
      </c>
      <c r="B87" s="119">
        <v>11</v>
      </c>
      <c r="C87" s="122" t="s">
        <v>479</v>
      </c>
      <c r="D87" s="122" t="s">
        <v>19</v>
      </c>
      <c r="E87" s="270"/>
      <c r="F87" s="238"/>
      <c r="G87" s="270"/>
      <c r="H87" s="271"/>
      <c r="I87" s="270"/>
      <c r="J87" s="271"/>
      <c r="K87" s="284"/>
      <c r="L87" s="285"/>
      <c r="M87" s="67"/>
      <c r="N87" s="270"/>
      <c r="O87" s="271"/>
      <c r="P87" s="270"/>
      <c r="Q87" s="271"/>
      <c r="R87" s="270"/>
      <c r="S87" s="271"/>
      <c r="T87" s="284"/>
      <c r="U87" s="285"/>
      <c r="V87" s="67"/>
      <c r="W87" s="68"/>
      <c r="X87" s="68"/>
      <c r="Y87" s="68"/>
    </row>
    <row r="88" spans="1:25" s="59" customFormat="1" ht="15.75" customHeight="1">
      <c r="A88" s="60"/>
      <c r="B88" s="119"/>
      <c r="C88" s="122"/>
      <c r="D88" s="119"/>
      <c r="E88" s="366"/>
      <c r="F88" s="367"/>
      <c r="G88" s="366"/>
      <c r="H88" s="367"/>
      <c r="I88" s="366"/>
      <c r="J88" s="367"/>
      <c r="K88" s="368"/>
      <c r="L88" s="369"/>
      <c r="M88" s="67"/>
      <c r="N88" s="366"/>
      <c r="O88" s="367"/>
      <c r="P88" s="366"/>
      <c r="Q88" s="367"/>
      <c r="R88" s="366"/>
      <c r="S88" s="367"/>
      <c r="T88" s="368"/>
      <c r="U88" s="369"/>
      <c r="V88" s="67"/>
      <c r="W88" s="68"/>
      <c r="X88" s="68"/>
      <c r="Y88" s="68"/>
    </row>
    <row r="89" spans="1:25" s="59" customFormat="1" ht="15.75" customHeight="1">
      <c r="A89" s="60"/>
      <c r="B89" s="65"/>
      <c r="C89" s="66"/>
      <c r="D89" s="66"/>
      <c r="E89" s="366"/>
      <c r="F89" s="367"/>
      <c r="G89" s="366"/>
      <c r="H89" s="367"/>
      <c r="I89" s="366"/>
      <c r="J89" s="367"/>
      <c r="K89" s="368"/>
      <c r="L89" s="369"/>
      <c r="M89" s="67"/>
      <c r="N89" s="366"/>
      <c r="O89" s="367"/>
      <c r="P89" s="366"/>
      <c r="Q89" s="367"/>
      <c r="R89" s="366"/>
      <c r="S89" s="367"/>
      <c r="T89" s="368"/>
      <c r="U89" s="369"/>
      <c r="V89" s="67"/>
      <c r="W89" s="68"/>
      <c r="X89" s="68"/>
      <c r="Y89" s="68"/>
    </row>
    <row r="90" spans="1:4" s="59" customFormat="1" ht="12.75">
      <c r="A90" s="69"/>
      <c r="C90" s="70"/>
      <c r="D90" s="70"/>
    </row>
    <row r="91" spans="1:25" s="59" customFormat="1" ht="12.75">
      <c r="A91" s="394" t="s">
        <v>172</v>
      </c>
      <c r="B91" s="395"/>
      <c r="C91" s="395"/>
      <c r="D91" s="395"/>
      <c r="E91" s="395"/>
      <c r="F91" s="395"/>
      <c r="G91" s="341" t="s">
        <v>172</v>
      </c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7"/>
      <c r="S91" s="354" t="s">
        <v>173</v>
      </c>
      <c r="T91" s="360"/>
      <c r="U91" s="360"/>
      <c r="V91" s="360"/>
      <c r="W91" s="360"/>
      <c r="X91" s="360"/>
      <c r="Y91" s="361"/>
    </row>
    <row r="92" spans="1:25" s="59" customFormat="1" ht="12.75">
      <c r="A92" s="60" t="s">
        <v>0</v>
      </c>
      <c r="B92" s="60" t="s">
        <v>174</v>
      </c>
      <c r="C92" s="60" t="s">
        <v>156</v>
      </c>
      <c r="D92" s="60" t="s">
        <v>157</v>
      </c>
      <c r="E92" s="353" t="s">
        <v>175</v>
      </c>
      <c r="F92" s="353"/>
      <c r="G92" s="63" t="s">
        <v>0</v>
      </c>
      <c r="H92" s="64" t="s">
        <v>174</v>
      </c>
      <c r="I92" s="354" t="s">
        <v>156</v>
      </c>
      <c r="J92" s="360"/>
      <c r="K92" s="360"/>
      <c r="L92" s="361"/>
      <c r="M92" s="391" t="s">
        <v>157</v>
      </c>
      <c r="N92" s="392"/>
      <c r="O92" s="392"/>
      <c r="P92" s="393"/>
      <c r="Q92" s="354" t="s">
        <v>175</v>
      </c>
      <c r="R92" s="361"/>
      <c r="S92" s="72"/>
      <c r="T92" s="73"/>
      <c r="U92" s="73"/>
      <c r="V92" s="57"/>
      <c r="W92" s="57"/>
      <c r="X92" s="57"/>
      <c r="Y92" s="58"/>
    </row>
    <row r="93" spans="1:25" s="59" customFormat="1" ht="15.75" customHeight="1">
      <c r="A93" s="60">
        <v>1</v>
      </c>
      <c r="B93" s="71"/>
      <c r="C93" s="74"/>
      <c r="D93" s="74"/>
      <c r="E93" s="384"/>
      <c r="F93" s="385"/>
      <c r="G93" s="247">
        <v>9</v>
      </c>
      <c r="H93" s="71"/>
      <c r="I93" s="386"/>
      <c r="J93" s="387"/>
      <c r="K93" s="387"/>
      <c r="L93" s="388"/>
      <c r="M93" s="386"/>
      <c r="N93" s="387"/>
      <c r="O93" s="387"/>
      <c r="P93" s="388"/>
      <c r="Q93" s="384"/>
      <c r="R93" s="385"/>
      <c r="S93" s="76"/>
      <c r="T93" s="77"/>
      <c r="U93" s="77"/>
      <c r="V93" s="78"/>
      <c r="W93" s="78"/>
      <c r="X93" s="78"/>
      <c r="Y93" s="79"/>
    </row>
    <row r="94" spans="1:25" s="59" customFormat="1" ht="15.75" customHeight="1">
      <c r="A94" s="60">
        <v>2</v>
      </c>
      <c r="B94" s="71"/>
      <c r="C94" s="74"/>
      <c r="D94" s="74"/>
      <c r="E94" s="384"/>
      <c r="F94" s="385"/>
      <c r="G94" s="247">
        <v>10</v>
      </c>
      <c r="H94" s="71"/>
      <c r="I94" s="386"/>
      <c r="J94" s="387"/>
      <c r="K94" s="387"/>
      <c r="L94" s="388"/>
      <c r="M94" s="386"/>
      <c r="N94" s="387"/>
      <c r="O94" s="387"/>
      <c r="P94" s="388"/>
      <c r="Q94" s="389"/>
      <c r="R94" s="390"/>
      <c r="S94" s="72"/>
      <c r="T94" s="73"/>
      <c r="U94" s="73"/>
      <c r="V94" s="57"/>
      <c r="W94" s="57"/>
      <c r="X94" s="57"/>
      <c r="Y94" s="58"/>
    </row>
    <row r="95" spans="1:25" s="59" customFormat="1" ht="15.75" customHeight="1">
      <c r="A95" s="60">
        <v>3</v>
      </c>
      <c r="B95" s="71"/>
      <c r="C95" s="74"/>
      <c r="D95" s="74"/>
      <c r="E95" s="384"/>
      <c r="F95" s="385"/>
      <c r="G95" s="247">
        <v>11</v>
      </c>
      <c r="H95" s="71"/>
      <c r="I95" s="386"/>
      <c r="J95" s="387"/>
      <c r="K95" s="387"/>
      <c r="L95" s="388"/>
      <c r="M95" s="386"/>
      <c r="N95" s="387"/>
      <c r="O95" s="387"/>
      <c r="P95" s="388"/>
      <c r="Q95" s="389"/>
      <c r="R95" s="390"/>
      <c r="S95" s="76"/>
      <c r="T95" s="77"/>
      <c r="U95" s="77"/>
      <c r="V95" s="78"/>
      <c r="W95" s="78"/>
      <c r="X95" s="78"/>
      <c r="Y95" s="79"/>
    </row>
    <row r="96" spans="1:25" s="59" customFormat="1" ht="15.75" customHeight="1">
      <c r="A96" s="60">
        <v>4</v>
      </c>
      <c r="B96" s="71"/>
      <c r="C96" s="74"/>
      <c r="D96" s="74"/>
      <c r="E96" s="384"/>
      <c r="F96" s="385"/>
      <c r="G96" s="247">
        <v>12</v>
      </c>
      <c r="H96" s="71"/>
      <c r="I96" s="386"/>
      <c r="J96" s="387"/>
      <c r="K96" s="387"/>
      <c r="L96" s="388"/>
      <c r="M96" s="386"/>
      <c r="N96" s="387"/>
      <c r="O96" s="387"/>
      <c r="P96" s="388"/>
      <c r="Q96" s="389"/>
      <c r="R96" s="390"/>
      <c r="S96" s="72"/>
      <c r="T96" s="73"/>
      <c r="U96" s="73"/>
      <c r="V96" s="57"/>
      <c r="W96" s="57"/>
      <c r="X96" s="57"/>
      <c r="Y96" s="58"/>
    </row>
    <row r="97" spans="1:25" s="59" customFormat="1" ht="15.75" customHeight="1">
      <c r="A97" s="60">
        <v>5</v>
      </c>
      <c r="B97" s="71"/>
      <c r="C97" s="74"/>
      <c r="D97" s="74"/>
      <c r="E97" s="384"/>
      <c r="F97" s="385"/>
      <c r="G97" s="247">
        <v>13</v>
      </c>
      <c r="H97" s="71"/>
      <c r="I97" s="386"/>
      <c r="J97" s="387"/>
      <c r="K97" s="387"/>
      <c r="L97" s="388"/>
      <c r="M97" s="386"/>
      <c r="N97" s="387"/>
      <c r="O97" s="387"/>
      <c r="P97" s="388"/>
      <c r="Q97" s="389"/>
      <c r="R97" s="390"/>
      <c r="S97" s="76"/>
      <c r="T97" s="77"/>
      <c r="U97" s="77"/>
      <c r="V97" s="78"/>
      <c r="W97" s="78"/>
      <c r="X97" s="78"/>
      <c r="Y97" s="79"/>
    </row>
    <row r="98" spans="1:25" s="59" customFormat="1" ht="15.75" customHeight="1">
      <c r="A98" s="60">
        <v>6</v>
      </c>
      <c r="B98" s="71"/>
      <c r="C98" s="74"/>
      <c r="D98" s="74"/>
      <c r="E98" s="384"/>
      <c r="F98" s="385"/>
      <c r="G98" s="247">
        <v>14</v>
      </c>
      <c r="H98" s="71"/>
      <c r="I98" s="386"/>
      <c r="J98" s="387"/>
      <c r="K98" s="387"/>
      <c r="L98" s="388"/>
      <c r="M98" s="386"/>
      <c r="N98" s="387"/>
      <c r="O98" s="387"/>
      <c r="P98" s="388"/>
      <c r="Q98" s="389"/>
      <c r="R98" s="390"/>
      <c r="S98" s="354" t="s">
        <v>176</v>
      </c>
      <c r="T98" s="360"/>
      <c r="U98" s="360"/>
      <c r="V98" s="360"/>
      <c r="W98" s="360"/>
      <c r="X98" s="360"/>
      <c r="Y98" s="361"/>
    </row>
    <row r="99" spans="1:25" s="59" customFormat="1" ht="15.75" customHeight="1">
      <c r="A99" s="60">
        <v>7</v>
      </c>
      <c r="B99" s="71"/>
      <c r="C99" s="74"/>
      <c r="D99" s="74"/>
      <c r="E99" s="384"/>
      <c r="F99" s="385"/>
      <c r="G99" s="247">
        <v>15</v>
      </c>
      <c r="H99" s="71"/>
      <c r="I99" s="386"/>
      <c r="J99" s="387"/>
      <c r="K99" s="387"/>
      <c r="L99" s="388"/>
      <c r="M99" s="386"/>
      <c r="N99" s="387"/>
      <c r="O99" s="387"/>
      <c r="P99" s="388"/>
      <c r="Q99" s="389"/>
      <c r="R99" s="390"/>
      <c r="S99" s="72"/>
      <c r="T99" s="73"/>
      <c r="U99" s="73"/>
      <c r="V99" s="57"/>
      <c r="W99" s="57"/>
      <c r="X99" s="57"/>
      <c r="Y99" s="58"/>
    </row>
    <row r="100" spans="1:25" s="59" customFormat="1" ht="15.75" customHeight="1">
      <c r="A100" s="60">
        <v>8</v>
      </c>
      <c r="B100" s="71"/>
      <c r="C100" s="74"/>
      <c r="D100" s="74"/>
      <c r="E100" s="384"/>
      <c r="F100" s="385"/>
      <c r="G100" s="247">
        <v>16</v>
      </c>
      <c r="H100" s="71"/>
      <c r="I100" s="386"/>
      <c r="J100" s="387"/>
      <c r="K100" s="387"/>
      <c r="L100" s="388"/>
      <c r="M100" s="386"/>
      <c r="N100" s="387"/>
      <c r="O100" s="387"/>
      <c r="P100" s="388"/>
      <c r="Q100" s="389"/>
      <c r="R100" s="390"/>
      <c r="S100" s="76"/>
      <c r="T100" s="77"/>
      <c r="U100" s="77"/>
      <c r="V100" s="78"/>
      <c r="W100" s="78"/>
      <c r="X100" s="78"/>
      <c r="Y100" s="79"/>
    </row>
    <row r="103" spans="1:25" s="59" customFormat="1" ht="20.25">
      <c r="A103" s="336" t="s">
        <v>147</v>
      </c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8"/>
    </row>
    <row r="104" spans="1:25" s="59" customFormat="1" ht="15.75" customHeight="1">
      <c r="A104" s="339" t="s">
        <v>148</v>
      </c>
      <c r="B104" s="340"/>
      <c r="C104" s="341" t="s">
        <v>177</v>
      </c>
      <c r="D104" s="342"/>
      <c r="E104" s="339" t="s">
        <v>149</v>
      </c>
      <c r="F104" s="343"/>
      <c r="G104" s="340"/>
      <c r="H104" s="341" t="s">
        <v>360</v>
      </c>
      <c r="I104" s="344"/>
      <c r="J104" s="345"/>
      <c r="K104" s="345"/>
      <c r="L104" s="346"/>
      <c r="M104" s="347" t="s">
        <v>150</v>
      </c>
      <c r="N104" s="348"/>
      <c r="O104" s="349"/>
      <c r="P104" s="350" t="s">
        <v>368</v>
      </c>
      <c r="Q104" s="351"/>
      <c r="R104" s="351"/>
      <c r="S104" s="351"/>
      <c r="T104" s="351"/>
      <c r="U104" s="351"/>
      <c r="V104" s="351"/>
      <c r="W104" s="351"/>
      <c r="X104" s="351"/>
      <c r="Y104" s="352"/>
    </row>
    <row r="105" spans="1:25" s="59" customFormat="1" ht="15.75" customHeight="1">
      <c r="A105" s="339" t="s">
        <v>179</v>
      </c>
      <c r="B105" s="340"/>
      <c r="C105" s="377" t="s">
        <v>192</v>
      </c>
      <c r="D105" s="378"/>
      <c r="E105" s="339" t="s">
        <v>151</v>
      </c>
      <c r="F105" s="343"/>
      <c r="G105" s="340"/>
      <c r="H105" s="379" t="s">
        <v>189</v>
      </c>
      <c r="I105" s="380"/>
      <c r="J105" s="339" t="s">
        <v>152</v>
      </c>
      <c r="K105" s="343"/>
      <c r="L105" s="340"/>
      <c r="M105" s="381"/>
      <c r="N105" s="375"/>
      <c r="O105" s="376"/>
      <c r="P105" s="373" t="s">
        <v>153</v>
      </c>
      <c r="Q105" s="374"/>
      <c r="R105" s="375"/>
      <c r="S105" s="375"/>
      <c r="T105" s="375" t="e">
        <f>VLOOKUP(I103,eventslist,4,FALSE)</f>
        <v>#NAME?</v>
      </c>
      <c r="U105" s="375"/>
      <c r="V105" s="375" t="e">
        <f>VLOOKUP(K103,eventslist,4,FALSE)</f>
        <v>#NAME?</v>
      </c>
      <c r="W105" s="375"/>
      <c r="X105" s="375" t="e">
        <f>VLOOKUP(M103,eventslist,4,FALSE)</f>
        <v>#NAME?</v>
      </c>
      <c r="Y105" s="376"/>
    </row>
    <row r="106" spans="1:25" s="59" customFormat="1" ht="31.5" customHeight="1">
      <c r="A106" s="60" t="s">
        <v>154</v>
      </c>
      <c r="B106" s="60" t="s">
        <v>155</v>
      </c>
      <c r="C106" s="61" t="s">
        <v>156</v>
      </c>
      <c r="D106" s="62" t="s">
        <v>157</v>
      </c>
      <c r="E106" s="362" t="s">
        <v>158</v>
      </c>
      <c r="F106" s="357"/>
      <c r="G106" s="357" t="s">
        <v>159</v>
      </c>
      <c r="H106" s="357"/>
      <c r="I106" s="357" t="s">
        <v>160</v>
      </c>
      <c r="J106" s="357"/>
      <c r="K106" s="357" t="s">
        <v>161</v>
      </c>
      <c r="L106" s="357"/>
      <c r="M106" s="355" t="s">
        <v>162</v>
      </c>
      <c r="N106" s="357" t="s">
        <v>163</v>
      </c>
      <c r="O106" s="357"/>
      <c r="P106" s="357" t="s">
        <v>164</v>
      </c>
      <c r="Q106" s="357"/>
      <c r="R106" s="357" t="s">
        <v>165</v>
      </c>
      <c r="S106" s="357"/>
      <c r="T106" s="357" t="s">
        <v>166</v>
      </c>
      <c r="U106" s="358"/>
      <c r="V106" s="359" t="s">
        <v>167</v>
      </c>
      <c r="W106" s="354" t="s">
        <v>168</v>
      </c>
      <c r="X106" s="360"/>
      <c r="Y106" s="361"/>
    </row>
    <row r="107" spans="1:25" s="59" customFormat="1" ht="12.75">
      <c r="A107" s="63"/>
      <c r="B107" s="63"/>
      <c r="C107" s="120" t="s">
        <v>382</v>
      </c>
      <c r="D107" s="370" t="s">
        <v>306</v>
      </c>
      <c r="E107" s="371"/>
      <c r="F107" s="372"/>
      <c r="G107" s="353" t="s">
        <v>169</v>
      </c>
      <c r="H107" s="353"/>
      <c r="I107" s="353" t="s">
        <v>169</v>
      </c>
      <c r="J107" s="353"/>
      <c r="K107" s="353" t="s">
        <v>169</v>
      </c>
      <c r="L107" s="353"/>
      <c r="M107" s="356"/>
      <c r="N107" s="353" t="s">
        <v>169</v>
      </c>
      <c r="O107" s="353"/>
      <c r="P107" s="353" t="s">
        <v>169</v>
      </c>
      <c r="Q107" s="353"/>
      <c r="R107" s="353" t="s">
        <v>169</v>
      </c>
      <c r="S107" s="353"/>
      <c r="T107" s="353" t="s">
        <v>169</v>
      </c>
      <c r="U107" s="354"/>
      <c r="V107" s="355"/>
      <c r="W107" s="60"/>
      <c r="X107" s="60" t="s">
        <v>170</v>
      </c>
      <c r="Y107" s="60" t="s">
        <v>171</v>
      </c>
    </row>
    <row r="108" spans="1:25" s="59" customFormat="1" ht="15.75" customHeight="1">
      <c r="A108" s="63">
        <v>1</v>
      </c>
      <c r="B108" s="119">
        <v>1</v>
      </c>
      <c r="C108" s="122" t="s">
        <v>491</v>
      </c>
      <c r="D108" s="122" t="s">
        <v>20</v>
      </c>
      <c r="E108" s="270"/>
      <c r="F108" s="271"/>
      <c r="G108" s="270"/>
      <c r="H108" s="271"/>
      <c r="I108" s="270"/>
      <c r="J108" s="271"/>
      <c r="K108" s="284"/>
      <c r="L108" s="285"/>
      <c r="M108" s="67"/>
      <c r="N108" s="270"/>
      <c r="O108" s="271"/>
      <c r="P108" s="270"/>
      <c r="Q108" s="271"/>
      <c r="R108" s="270"/>
      <c r="S108" s="271"/>
      <c r="T108" s="284"/>
      <c r="U108" s="285"/>
      <c r="V108" s="67"/>
      <c r="W108" s="68"/>
      <c r="X108" s="68"/>
      <c r="Y108" s="68"/>
    </row>
    <row r="109" spans="1:25" s="59" customFormat="1" ht="15.75" customHeight="1">
      <c r="A109" s="60">
        <v>2</v>
      </c>
      <c r="B109" s="119">
        <v>2</v>
      </c>
      <c r="C109" s="122" t="s">
        <v>492</v>
      </c>
      <c r="D109" s="122" t="s">
        <v>20</v>
      </c>
      <c r="E109" s="270"/>
      <c r="F109" s="271"/>
      <c r="G109" s="270"/>
      <c r="H109" s="271"/>
      <c r="I109" s="270"/>
      <c r="J109" s="271"/>
      <c r="K109" s="284"/>
      <c r="L109" s="285"/>
      <c r="M109" s="67"/>
      <c r="N109" s="270"/>
      <c r="O109" s="271"/>
      <c r="P109" s="270"/>
      <c r="Q109" s="271"/>
      <c r="R109" s="270"/>
      <c r="S109" s="271"/>
      <c r="T109" s="284"/>
      <c r="U109" s="285"/>
      <c r="V109" s="67"/>
      <c r="W109" s="68"/>
      <c r="X109" s="68"/>
      <c r="Y109" s="68"/>
    </row>
    <row r="110" spans="1:25" s="59" customFormat="1" ht="15.75" customHeight="1">
      <c r="A110" s="60">
        <v>3</v>
      </c>
      <c r="B110" s="119">
        <v>3</v>
      </c>
      <c r="C110" s="122" t="s">
        <v>493</v>
      </c>
      <c r="D110" s="122" t="s">
        <v>16</v>
      </c>
      <c r="E110" s="270"/>
      <c r="F110" s="271"/>
      <c r="G110" s="270"/>
      <c r="H110" s="271"/>
      <c r="I110" s="270"/>
      <c r="J110" s="271"/>
      <c r="K110" s="284"/>
      <c r="L110" s="285"/>
      <c r="M110" s="67"/>
      <c r="N110" s="270"/>
      <c r="O110" s="271"/>
      <c r="P110" s="270"/>
      <c r="Q110" s="271"/>
      <c r="R110" s="270"/>
      <c r="S110" s="271"/>
      <c r="T110" s="284"/>
      <c r="U110" s="285"/>
      <c r="V110" s="67"/>
      <c r="W110" s="68"/>
      <c r="X110" s="68"/>
      <c r="Y110" s="68"/>
    </row>
    <row r="111" spans="1:25" s="59" customFormat="1" ht="15.75" customHeight="1">
      <c r="A111" s="60">
        <v>4</v>
      </c>
      <c r="B111" s="119">
        <v>4</v>
      </c>
      <c r="C111" s="122" t="s">
        <v>494</v>
      </c>
      <c r="D111" s="122" t="s">
        <v>16</v>
      </c>
      <c r="E111" s="270"/>
      <c r="F111" s="271"/>
      <c r="G111" s="270"/>
      <c r="H111" s="271"/>
      <c r="I111" s="270"/>
      <c r="J111" s="271"/>
      <c r="K111" s="284"/>
      <c r="L111" s="285"/>
      <c r="M111" s="67"/>
      <c r="N111" s="270"/>
      <c r="O111" s="271"/>
      <c r="P111" s="270"/>
      <c r="Q111" s="271"/>
      <c r="R111" s="270"/>
      <c r="S111" s="271"/>
      <c r="T111" s="284"/>
      <c r="U111" s="285"/>
      <c r="V111" s="67"/>
      <c r="W111" s="68"/>
      <c r="X111" s="68"/>
      <c r="Y111" s="68"/>
    </row>
    <row r="112" spans="1:25" s="59" customFormat="1" ht="15.75" customHeight="1">
      <c r="A112" s="60">
        <v>5</v>
      </c>
      <c r="B112" s="119">
        <v>5</v>
      </c>
      <c r="C112" s="122" t="s">
        <v>495</v>
      </c>
      <c r="D112" s="122" t="s">
        <v>18</v>
      </c>
      <c r="E112" s="270"/>
      <c r="F112" s="271"/>
      <c r="G112" s="270"/>
      <c r="H112" s="271"/>
      <c r="I112" s="270"/>
      <c r="J112" s="271"/>
      <c r="K112" s="284"/>
      <c r="L112" s="285"/>
      <c r="M112" s="67"/>
      <c r="N112" s="270"/>
      <c r="O112" s="271"/>
      <c r="P112" s="270"/>
      <c r="Q112" s="271"/>
      <c r="R112" s="270"/>
      <c r="S112" s="271"/>
      <c r="T112" s="284"/>
      <c r="U112" s="285"/>
      <c r="V112" s="67"/>
      <c r="W112" s="68"/>
      <c r="X112" s="68"/>
      <c r="Y112" s="68"/>
    </row>
    <row r="113" spans="1:25" s="59" customFormat="1" ht="15.75" customHeight="1">
      <c r="A113" s="60">
        <v>6</v>
      </c>
      <c r="B113" s="119">
        <v>6</v>
      </c>
      <c r="C113" s="122" t="s">
        <v>496</v>
      </c>
      <c r="D113" s="122" t="s">
        <v>18</v>
      </c>
      <c r="E113" s="270"/>
      <c r="F113" s="271"/>
      <c r="G113" s="270"/>
      <c r="H113" s="271"/>
      <c r="I113" s="270"/>
      <c r="J113" s="271"/>
      <c r="K113" s="284"/>
      <c r="L113" s="285"/>
      <c r="M113" s="67"/>
      <c r="N113" s="270"/>
      <c r="O113" s="271"/>
      <c r="P113" s="270"/>
      <c r="Q113" s="271"/>
      <c r="R113" s="270"/>
      <c r="S113" s="271"/>
      <c r="T113" s="284"/>
      <c r="U113" s="285"/>
      <c r="V113" s="67"/>
      <c r="W113" s="68"/>
      <c r="X113" s="68"/>
      <c r="Y113" s="68"/>
    </row>
    <row r="114" spans="1:25" s="59" customFormat="1" ht="15.75" customHeight="1">
      <c r="A114" s="60">
        <v>7</v>
      </c>
      <c r="B114" s="119">
        <v>7</v>
      </c>
      <c r="C114" s="122" t="s">
        <v>497</v>
      </c>
      <c r="D114" s="122" t="s">
        <v>22</v>
      </c>
      <c r="E114" s="270"/>
      <c r="F114" s="271"/>
      <c r="G114" s="270"/>
      <c r="H114" s="271"/>
      <c r="I114" s="270"/>
      <c r="J114" s="271"/>
      <c r="K114" s="284"/>
      <c r="L114" s="285"/>
      <c r="M114" s="67"/>
      <c r="N114" s="270"/>
      <c r="O114" s="271"/>
      <c r="P114" s="270"/>
      <c r="Q114" s="271"/>
      <c r="R114" s="270"/>
      <c r="S114" s="271"/>
      <c r="T114" s="284"/>
      <c r="U114" s="285"/>
      <c r="V114" s="67"/>
      <c r="W114" s="68"/>
      <c r="X114" s="68"/>
      <c r="Y114" s="68"/>
    </row>
    <row r="115" spans="1:25" s="59" customFormat="1" ht="15.75" customHeight="1">
      <c r="A115" s="60">
        <v>8</v>
      </c>
      <c r="B115" s="119">
        <v>8</v>
      </c>
      <c r="C115" s="122" t="s">
        <v>498</v>
      </c>
      <c r="D115" s="122" t="s">
        <v>22</v>
      </c>
      <c r="E115" s="270"/>
      <c r="F115" s="271"/>
      <c r="G115" s="270"/>
      <c r="H115" s="271"/>
      <c r="I115" s="270"/>
      <c r="J115" s="271"/>
      <c r="K115" s="284"/>
      <c r="L115" s="285"/>
      <c r="M115" s="67"/>
      <c r="N115" s="270"/>
      <c r="O115" s="271"/>
      <c r="P115" s="270"/>
      <c r="Q115" s="271"/>
      <c r="R115" s="270"/>
      <c r="S115" s="271"/>
      <c r="T115" s="284"/>
      <c r="U115" s="285"/>
      <c r="V115" s="67"/>
      <c r="W115" s="68"/>
      <c r="X115" s="68"/>
      <c r="Y115" s="68"/>
    </row>
    <row r="116" spans="1:25" s="59" customFormat="1" ht="15.75" customHeight="1">
      <c r="A116" s="60">
        <v>9</v>
      </c>
      <c r="B116" s="119">
        <v>9</v>
      </c>
      <c r="C116" s="122" t="s">
        <v>499</v>
      </c>
      <c r="D116" s="122" t="s">
        <v>92</v>
      </c>
      <c r="E116" s="270"/>
      <c r="F116" s="271"/>
      <c r="G116" s="270"/>
      <c r="H116" s="271"/>
      <c r="I116" s="270"/>
      <c r="J116" s="271"/>
      <c r="K116" s="284"/>
      <c r="L116" s="285"/>
      <c r="M116" s="67"/>
      <c r="N116" s="270"/>
      <c r="O116" s="271"/>
      <c r="P116" s="270"/>
      <c r="Q116" s="271"/>
      <c r="R116" s="270"/>
      <c r="S116" s="271"/>
      <c r="T116" s="284"/>
      <c r="U116" s="285"/>
      <c r="V116" s="67"/>
      <c r="W116" s="68"/>
      <c r="X116" s="68"/>
      <c r="Y116" s="68"/>
    </row>
    <row r="117" spans="1:25" s="59" customFormat="1" ht="15.75" customHeight="1">
      <c r="A117" s="60">
        <v>10</v>
      </c>
      <c r="B117" s="119">
        <v>10</v>
      </c>
      <c r="C117" s="122" t="s">
        <v>500</v>
      </c>
      <c r="D117" s="122" t="s">
        <v>92</v>
      </c>
      <c r="E117" s="270"/>
      <c r="F117" s="271"/>
      <c r="G117" s="270"/>
      <c r="H117" s="271"/>
      <c r="I117" s="270"/>
      <c r="J117" s="271"/>
      <c r="K117" s="284"/>
      <c r="L117" s="285"/>
      <c r="M117" s="67"/>
      <c r="N117" s="270"/>
      <c r="O117" s="271"/>
      <c r="P117" s="270"/>
      <c r="Q117" s="271"/>
      <c r="R117" s="270"/>
      <c r="S117" s="271"/>
      <c r="T117" s="284"/>
      <c r="U117" s="285"/>
      <c r="V117" s="67"/>
      <c r="W117" s="68"/>
      <c r="X117" s="68"/>
      <c r="Y117" s="68"/>
    </row>
    <row r="118" spans="1:25" s="59" customFormat="1" ht="15.75" customHeight="1">
      <c r="A118" s="60">
        <v>11</v>
      </c>
      <c r="B118" s="119">
        <v>11</v>
      </c>
      <c r="C118" s="122" t="s">
        <v>501</v>
      </c>
      <c r="D118" s="122" t="s">
        <v>19</v>
      </c>
      <c r="E118" s="270"/>
      <c r="F118" s="271"/>
      <c r="G118" s="270"/>
      <c r="H118" s="271"/>
      <c r="I118" s="270"/>
      <c r="J118" s="271"/>
      <c r="K118" s="284"/>
      <c r="L118" s="285"/>
      <c r="M118" s="67"/>
      <c r="N118" s="270"/>
      <c r="O118" s="271"/>
      <c r="P118" s="270"/>
      <c r="Q118" s="271"/>
      <c r="R118" s="270"/>
      <c r="S118" s="271"/>
      <c r="T118" s="284"/>
      <c r="U118" s="285"/>
      <c r="V118" s="67"/>
      <c r="W118" s="68"/>
      <c r="X118" s="68"/>
      <c r="Y118" s="68"/>
    </row>
    <row r="119" spans="1:25" s="59" customFormat="1" ht="15.75" customHeight="1">
      <c r="A119" s="60">
        <v>12</v>
      </c>
      <c r="B119" s="119">
        <v>12</v>
      </c>
      <c r="C119" s="119" t="s">
        <v>502</v>
      </c>
      <c r="D119" s="119" t="s">
        <v>19</v>
      </c>
      <c r="E119" s="270"/>
      <c r="F119" s="271"/>
      <c r="G119" s="270"/>
      <c r="H119" s="271"/>
      <c r="I119" s="270"/>
      <c r="J119" s="271"/>
      <c r="K119" s="284"/>
      <c r="L119" s="285"/>
      <c r="M119" s="67"/>
      <c r="N119" s="270"/>
      <c r="O119" s="271"/>
      <c r="P119" s="270"/>
      <c r="Q119" s="271"/>
      <c r="R119" s="270"/>
      <c r="S119" s="271"/>
      <c r="T119" s="284"/>
      <c r="U119" s="285"/>
      <c r="V119" s="67"/>
      <c r="W119" s="68"/>
      <c r="X119" s="68"/>
      <c r="Y119" s="68"/>
    </row>
    <row r="120" spans="1:25" s="59" customFormat="1" ht="15.75" customHeight="1">
      <c r="A120" s="60"/>
      <c r="B120" s="119"/>
      <c r="C120" s="119"/>
      <c r="D120" s="119"/>
      <c r="E120" s="366"/>
      <c r="F120" s="367"/>
      <c r="G120" s="366"/>
      <c r="H120" s="367"/>
      <c r="I120" s="366"/>
      <c r="J120" s="367"/>
      <c r="K120" s="368"/>
      <c r="L120" s="369"/>
      <c r="M120" s="67"/>
      <c r="N120" s="366"/>
      <c r="O120" s="367"/>
      <c r="P120" s="366"/>
      <c r="Q120" s="367"/>
      <c r="R120" s="366"/>
      <c r="S120" s="367"/>
      <c r="T120" s="368"/>
      <c r="U120" s="369"/>
      <c r="V120" s="67"/>
      <c r="W120" s="68"/>
      <c r="X120" s="68"/>
      <c r="Y120" s="68"/>
    </row>
    <row r="121" spans="1:25" s="59" customFormat="1" ht="15.75" customHeight="1">
      <c r="A121" s="60"/>
      <c r="B121" s="119"/>
      <c r="C121" s="119"/>
      <c r="D121" s="119"/>
      <c r="E121" s="366"/>
      <c r="F121" s="367"/>
      <c r="G121" s="366"/>
      <c r="H121" s="367"/>
      <c r="I121" s="366"/>
      <c r="J121" s="367"/>
      <c r="K121" s="368"/>
      <c r="L121" s="369"/>
      <c r="M121" s="67"/>
      <c r="N121" s="366"/>
      <c r="O121" s="367"/>
      <c r="P121" s="366"/>
      <c r="Q121" s="367"/>
      <c r="R121" s="366"/>
      <c r="S121" s="367"/>
      <c r="T121" s="368"/>
      <c r="U121" s="369"/>
      <c r="V121" s="67"/>
      <c r="W121" s="68"/>
      <c r="X121" s="68"/>
      <c r="Y121" s="68"/>
    </row>
    <row r="122" spans="1:25" s="59" customFormat="1" ht="15.75" customHeight="1">
      <c r="A122" s="60"/>
      <c r="B122" s="119"/>
      <c r="C122" s="119"/>
      <c r="D122" s="119"/>
      <c r="E122" s="366"/>
      <c r="F122" s="367"/>
      <c r="G122" s="366"/>
      <c r="H122" s="367"/>
      <c r="I122" s="366"/>
      <c r="J122" s="367"/>
      <c r="K122" s="368"/>
      <c r="L122" s="369"/>
      <c r="M122" s="67"/>
      <c r="N122" s="366"/>
      <c r="O122" s="367"/>
      <c r="P122" s="366"/>
      <c r="Q122" s="367"/>
      <c r="R122" s="366"/>
      <c r="S122" s="367"/>
      <c r="T122" s="368"/>
      <c r="U122" s="369"/>
      <c r="V122" s="67"/>
      <c r="W122" s="68"/>
      <c r="X122" s="68"/>
      <c r="Y122" s="68"/>
    </row>
    <row r="123" spans="1:25" s="59" customFormat="1" ht="15.75" customHeight="1">
      <c r="A123" s="60"/>
      <c r="B123" s="65"/>
      <c r="C123" s="66"/>
      <c r="D123" s="66"/>
      <c r="E123" s="366"/>
      <c r="F123" s="367"/>
      <c r="G123" s="366"/>
      <c r="H123" s="367"/>
      <c r="I123" s="366"/>
      <c r="J123" s="367"/>
      <c r="K123" s="368"/>
      <c r="L123" s="369"/>
      <c r="M123" s="67"/>
      <c r="N123" s="366"/>
      <c r="O123" s="367"/>
      <c r="P123" s="366"/>
      <c r="Q123" s="367"/>
      <c r="R123" s="366"/>
      <c r="S123" s="367"/>
      <c r="T123" s="368"/>
      <c r="U123" s="369"/>
      <c r="V123" s="67"/>
      <c r="W123" s="68"/>
      <c r="X123" s="68"/>
      <c r="Y123" s="68"/>
    </row>
    <row r="124" spans="1:4" s="59" customFormat="1" ht="12.75">
      <c r="A124" s="69"/>
      <c r="C124" s="70"/>
      <c r="D124" s="70"/>
    </row>
    <row r="125" spans="1:25" s="59" customFormat="1" ht="12.75">
      <c r="A125" s="394" t="s">
        <v>172</v>
      </c>
      <c r="B125" s="395"/>
      <c r="C125" s="395"/>
      <c r="D125" s="395"/>
      <c r="E125" s="395"/>
      <c r="F125" s="395"/>
      <c r="G125" s="341" t="s">
        <v>172</v>
      </c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7"/>
      <c r="S125" s="354" t="s">
        <v>173</v>
      </c>
      <c r="T125" s="360"/>
      <c r="U125" s="360"/>
      <c r="V125" s="360"/>
      <c r="W125" s="360"/>
      <c r="X125" s="360"/>
      <c r="Y125" s="361"/>
    </row>
    <row r="126" spans="1:25" s="59" customFormat="1" ht="12.75">
      <c r="A126" s="60" t="s">
        <v>0</v>
      </c>
      <c r="B126" s="60" t="s">
        <v>174</v>
      </c>
      <c r="C126" s="60" t="s">
        <v>156</v>
      </c>
      <c r="D126" s="60" t="s">
        <v>157</v>
      </c>
      <c r="E126" s="353" t="s">
        <v>175</v>
      </c>
      <c r="F126" s="353"/>
      <c r="G126" s="63" t="s">
        <v>0</v>
      </c>
      <c r="H126" s="64" t="s">
        <v>174</v>
      </c>
      <c r="I126" s="354" t="s">
        <v>156</v>
      </c>
      <c r="J126" s="360"/>
      <c r="K126" s="360"/>
      <c r="L126" s="361"/>
      <c r="M126" s="391" t="s">
        <v>157</v>
      </c>
      <c r="N126" s="392"/>
      <c r="O126" s="392"/>
      <c r="P126" s="393"/>
      <c r="Q126" s="354" t="s">
        <v>175</v>
      </c>
      <c r="R126" s="361"/>
      <c r="S126" s="72"/>
      <c r="T126" s="73"/>
      <c r="U126" s="73"/>
      <c r="V126" s="57"/>
      <c r="W126" s="57"/>
      <c r="X126" s="57"/>
      <c r="Y126" s="58"/>
    </row>
    <row r="127" spans="1:25" s="59" customFormat="1" ht="15.75" customHeight="1">
      <c r="A127" s="60">
        <v>1</v>
      </c>
      <c r="B127" s="71"/>
      <c r="C127" s="74"/>
      <c r="D127" s="74"/>
      <c r="E127" s="384"/>
      <c r="F127" s="385"/>
      <c r="G127" s="247">
        <v>9</v>
      </c>
      <c r="H127" s="71"/>
      <c r="I127" s="386"/>
      <c r="J127" s="387"/>
      <c r="K127" s="387"/>
      <c r="L127" s="388"/>
      <c r="M127" s="386"/>
      <c r="N127" s="387"/>
      <c r="O127" s="387"/>
      <c r="P127" s="388"/>
      <c r="Q127" s="384"/>
      <c r="R127" s="385"/>
      <c r="S127" s="76"/>
      <c r="T127" s="77"/>
      <c r="U127" s="77"/>
      <c r="V127" s="78"/>
      <c r="W127" s="78"/>
      <c r="X127" s="78"/>
      <c r="Y127" s="79"/>
    </row>
    <row r="128" spans="1:25" s="59" customFormat="1" ht="15.75" customHeight="1">
      <c r="A128" s="60">
        <v>2</v>
      </c>
      <c r="B128" s="71"/>
      <c r="C128" s="74"/>
      <c r="D128" s="74"/>
      <c r="E128" s="384"/>
      <c r="F128" s="385"/>
      <c r="G128" s="247">
        <v>10</v>
      </c>
      <c r="H128" s="71"/>
      <c r="I128" s="386"/>
      <c r="J128" s="387"/>
      <c r="K128" s="387"/>
      <c r="L128" s="388"/>
      <c r="M128" s="386"/>
      <c r="N128" s="387"/>
      <c r="O128" s="387"/>
      <c r="P128" s="388"/>
      <c r="Q128" s="389"/>
      <c r="R128" s="390"/>
      <c r="S128" s="72"/>
      <c r="T128" s="73"/>
      <c r="U128" s="73"/>
      <c r="V128" s="57"/>
      <c r="W128" s="57"/>
      <c r="X128" s="57"/>
      <c r="Y128" s="58"/>
    </row>
    <row r="129" spans="1:25" s="59" customFormat="1" ht="15.75" customHeight="1">
      <c r="A129" s="60">
        <v>3</v>
      </c>
      <c r="B129" s="71"/>
      <c r="C129" s="74"/>
      <c r="D129" s="74"/>
      <c r="E129" s="384"/>
      <c r="F129" s="385"/>
      <c r="G129" s="247">
        <v>11</v>
      </c>
      <c r="H129" s="71"/>
      <c r="I129" s="386"/>
      <c r="J129" s="387"/>
      <c r="K129" s="387"/>
      <c r="L129" s="388"/>
      <c r="M129" s="386"/>
      <c r="N129" s="387"/>
      <c r="O129" s="387"/>
      <c r="P129" s="388"/>
      <c r="Q129" s="389"/>
      <c r="R129" s="390"/>
      <c r="S129" s="76"/>
      <c r="T129" s="77"/>
      <c r="U129" s="77"/>
      <c r="V129" s="78"/>
      <c r="W129" s="78"/>
      <c r="X129" s="78"/>
      <c r="Y129" s="79"/>
    </row>
    <row r="130" spans="1:25" s="59" customFormat="1" ht="15.75" customHeight="1">
      <c r="A130" s="60">
        <v>4</v>
      </c>
      <c r="B130" s="71"/>
      <c r="C130" s="74"/>
      <c r="D130" s="74"/>
      <c r="E130" s="384"/>
      <c r="F130" s="385"/>
      <c r="G130" s="247">
        <v>12</v>
      </c>
      <c r="H130" s="71"/>
      <c r="I130" s="386"/>
      <c r="J130" s="387"/>
      <c r="K130" s="387"/>
      <c r="L130" s="388"/>
      <c r="M130" s="386"/>
      <c r="N130" s="387"/>
      <c r="O130" s="387"/>
      <c r="P130" s="388"/>
      <c r="Q130" s="389"/>
      <c r="R130" s="390"/>
      <c r="S130" s="72"/>
      <c r="T130" s="73"/>
      <c r="U130" s="73"/>
      <c r="V130" s="57"/>
      <c r="W130" s="57"/>
      <c r="X130" s="57"/>
      <c r="Y130" s="58"/>
    </row>
    <row r="131" spans="1:25" s="59" customFormat="1" ht="15.75" customHeight="1">
      <c r="A131" s="60">
        <v>5</v>
      </c>
      <c r="B131" s="71"/>
      <c r="C131" s="74"/>
      <c r="D131" s="74"/>
      <c r="E131" s="384"/>
      <c r="F131" s="385"/>
      <c r="G131" s="247">
        <v>13</v>
      </c>
      <c r="H131" s="71"/>
      <c r="I131" s="386"/>
      <c r="J131" s="387"/>
      <c r="K131" s="387"/>
      <c r="L131" s="388"/>
      <c r="M131" s="386"/>
      <c r="N131" s="387"/>
      <c r="O131" s="387"/>
      <c r="P131" s="388"/>
      <c r="Q131" s="389"/>
      <c r="R131" s="390"/>
      <c r="S131" s="76"/>
      <c r="T131" s="77"/>
      <c r="U131" s="77"/>
      <c r="V131" s="78"/>
      <c r="W131" s="78"/>
      <c r="X131" s="78"/>
      <c r="Y131" s="79"/>
    </row>
    <row r="132" spans="1:25" s="59" customFormat="1" ht="15.75" customHeight="1">
      <c r="A132" s="60">
        <v>6</v>
      </c>
      <c r="B132" s="71"/>
      <c r="C132" s="74"/>
      <c r="D132" s="74"/>
      <c r="E132" s="384"/>
      <c r="F132" s="385"/>
      <c r="G132" s="247">
        <v>14</v>
      </c>
      <c r="H132" s="71"/>
      <c r="I132" s="386"/>
      <c r="J132" s="387"/>
      <c r="K132" s="387"/>
      <c r="L132" s="388"/>
      <c r="M132" s="386"/>
      <c r="N132" s="387"/>
      <c r="O132" s="387"/>
      <c r="P132" s="388"/>
      <c r="Q132" s="389"/>
      <c r="R132" s="390"/>
      <c r="S132" s="354" t="s">
        <v>176</v>
      </c>
      <c r="T132" s="360"/>
      <c r="U132" s="360"/>
      <c r="V132" s="360"/>
      <c r="W132" s="360"/>
      <c r="X132" s="360"/>
      <c r="Y132" s="361"/>
    </row>
    <row r="133" spans="1:25" s="59" customFormat="1" ht="15.75" customHeight="1">
      <c r="A133" s="60">
        <v>7</v>
      </c>
      <c r="B133" s="71"/>
      <c r="C133" s="74"/>
      <c r="D133" s="74"/>
      <c r="E133" s="384"/>
      <c r="F133" s="385"/>
      <c r="G133" s="247">
        <v>15</v>
      </c>
      <c r="H133" s="71"/>
      <c r="I133" s="386"/>
      <c r="J133" s="387"/>
      <c r="K133" s="387"/>
      <c r="L133" s="388"/>
      <c r="M133" s="386"/>
      <c r="N133" s="387"/>
      <c r="O133" s="387"/>
      <c r="P133" s="388"/>
      <c r="Q133" s="389"/>
      <c r="R133" s="390"/>
      <c r="S133" s="72"/>
      <c r="T133" s="73"/>
      <c r="U133" s="73"/>
      <c r="V133" s="57"/>
      <c r="W133" s="57"/>
      <c r="X133" s="57"/>
      <c r="Y133" s="58"/>
    </row>
    <row r="134" spans="1:25" s="59" customFormat="1" ht="15.75" customHeight="1">
      <c r="A134" s="60">
        <v>8</v>
      </c>
      <c r="B134" s="71"/>
      <c r="C134" s="74"/>
      <c r="D134" s="74"/>
      <c r="E134" s="384"/>
      <c r="F134" s="385"/>
      <c r="G134" s="247">
        <v>16</v>
      </c>
      <c r="H134" s="71"/>
      <c r="I134" s="386"/>
      <c r="J134" s="387"/>
      <c r="K134" s="387"/>
      <c r="L134" s="388"/>
      <c r="M134" s="386"/>
      <c r="N134" s="387"/>
      <c r="O134" s="387"/>
      <c r="P134" s="388"/>
      <c r="Q134" s="389"/>
      <c r="R134" s="390"/>
      <c r="S134" s="76"/>
      <c r="T134" s="77"/>
      <c r="U134" s="77"/>
      <c r="V134" s="78"/>
      <c r="W134" s="78"/>
      <c r="X134" s="78"/>
      <c r="Y134" s="79"/>
    </row>
    <row r="137" spans="1:25" s="59" customFormat="1" ht="20.25">
      <c r="A137" s="336" t="s">
        <v>147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8"/>
    </row>
    <row r="138" spans="1:25" s="59" customFormat="1" ht="15.75" customHeight="1">
      <c r="A138" s="339" t="s">
        <v>148</v>
      </c>
      <c r="B138" s="340"/>
      <c r="C138" s="341" t="s">
        <v>177</v>
      </c>
      <c r="D138" s="342"/>
      <c r="E138" s="339" t="s">
        <v>149</v>
      </c>
      <c r="F138" s="343"/>
      <c r="G138" s="340"/>
      <c r="H138" s="341" t="s">
        <v>360</v>
      </c>
      <c r="I138" s="344"/>
      <c r="J138" s="345"/>
      <c r="K138" s="345"/>
      <c r="L138" s="346"/>
      <c r="M138" s="347" t="s">
        <v>150</v>
      </c>
      <c r="N138" s="348"/>
      <c r="O138" s="349"/>
      <c r="P138" s="350" t="s">
        <v>368</v>
      </c>
      <c r="Q138" s="351"/>
      <c r="R138" s="351"/>
      <c r="S138" s="351"/>
      <c r="T138" s="351"/>
      <c r="U138" s="351"/>
      <c r="V138" s="351"/>
      <c r="W138" s="351"/>
      <c r="X138" s="351"/>
      <c r="Y138" s="352"/>
    </row>
    <row r="139" spans="1:25" s="59" customFormat="1" ht="15.75" customHeight="1">
      <c r="A139" s="339" t="s">
        <v>179</v>
      </c>
      <c r="B139" s="340"/>
      <c r="C139" s="377" t="s">
        <v>188</v>
      </c>
      <c r="D139" s="378"/>
      <c r="E139" s="339" t="s">
        <v>151</v>
      </c>
      <c r="F139" s="343"/>
      <c r="G139" s="340"/>
      <c r="H139" s="379" t="s">
        <v>196</v>
      </c>
      <c r="I139" s="380"/>
      <c r="J139" s="339" t="s">
        <v>152</v>
      </c>
      <c r="K139" s="343"/>
      <c r="L139" s="340"/>
      <c r="M139" s="381"/>
      <c r="N139" s="375"/>
      <c r="O139" s="376"/>
      <c r="P139" s="373" t="s">
        <v>153</v>
      </c>
      <c r="Q139" s="374"/>
      <c r="R139" s="375"/>
      <c r="S139" s="375"/>
      <c r="T139" s="375" t="e">
        <f>VLOOKUP(I137,eventslist,4,FALSE)</f>
        <v>#NAME?</v>
      </c>
      <c r="U139" s="375"/>
      <c r="V139" s="375" t="e">
        <f>VLOOKUP(K137,eventslist,4,FALSE)</f>
        <v>#NAME?</v>
      </c>
      <c r="W139" s="375"/>
      <c r="X139" s="375" t="e">
        <f>VLOOKUP(M137,eventslist,4,FALSE)</f>
        <v>#NAME?</v>
      </c>
      <c r="Y139" s="376"/>
    </row>
    <row r="140" spans="1:25" s="59" customFormat="1" ht="31.5" customHeight="1">
      <c r="A140" s="60" t="s">
        <v>154</v>
      </c>
      <c r="B140" s="60" t="s">
        <v>155</v>
      </c>
      <c r="C140" s="61" t="s">
        <v>156</v>
      </c>
      <c r="D140" s="62" t="s">
        <v>157</v>
      </c>
      <c r="E140" s="362" t="s">
        <v>158</v>
      </c>
      <c r="F140" s="357"/>
      <c r="G140" s="357" t="s">
        <v>159</v>
      </c>
      <c r="H140" s="357"/>
      <c r="I140" s="357" t="s">
        <v>160</v>
      </c>
      <c r="J140" s="357"/>
      <c r="K140" s="357" t="s">
        <v>161</v>
      </c>
      <c r="L140" s="357"/>
      <c r="M140" s="355" t="s">
        <v>162</v>
      </c>
      <c r="N140" s="357" t="s">
        <v>163</v>
      </c>
      <c r="O140" s="357"/>
      <c r="P140" s="357" t="s">
        <v>164</v>
      </c>
      <c r="Q140" s="357"/>
      <c r="R140" s="357" t="s">
        <v>165</v>
      </c>
      <c r="S140" s="357"/>
      <c r="T140" s="357" t="s">
        <v>166</v>
      </c>
      <c r="U140" s="358"/>
      <c r="V140" s="359" t="s">
        <v>167</v>
      </c>
      <c r="W140" s="354" t="s">
        <v>168</v>
      </c>
      <c r="X140" s="360"/>
      <c r="Y140" s="361"/>
    </row>
    <row r="141" spans="1:25" s="59" customFormat="1" ht="12.75">
      <c r="A141" s="63"/>
      <c r="B141" s="63"/>
      <c r="C141" s="120" t="s">
        <v>332</v>
      </c>
      <c r="D141" s="370" t="s">
        <v>307</v>
      </c>
      <c r="E141" s="371"/>
      <c r="F141" s="372"/>
      <c r="G141" s="353" t="s">
        <v>169</v>
      </c>
      <c r="H141" s="353"/>
      <c r="I141" s="353" t="s">
        <v>169</v>
      </c>
      <c r="J141" s="353"/>
      <c r="K141" s="353" t="s">
        <v>169</v>
      </c>
      <c r="L141" s="353"/>
      <c r="M141" s="356"/>
      <c r="N141" s="353" t="s">
        <v>169</v>
      </c>
      <c r="O141" s="353"/>
      <c r="P141" s="353" t="s">
        <v>169</v>
      </c>
      <c r="Q141" s="353"/>
      <c r="R141" s="353" t="s">
        <v>169</v>
      </c>
      <c r="S141" s="353"/>
      <c r="T141" s="353" t="s">
        <v>169</v>
      </c>
      <c r="U141" s="354"/>
      <c r="V141" s="355"/>
      <c r="W141" s="60"/>
      <c r="X141" s="60" t="s">
        <v>170</v>
      </c>
      <c r="Y141" s="60" t="s">
        <v>171</v>
      </c>
    </row>
    <row r="142" spans="1:25" s="59" customFormat="1" ht="15.75" customHeight="1">
      <c r="A142" s="63">
        <v>1</v>
      </c>
      <c r="B142" s="119">
        <v>1</v>
      </c>
      <c r="C142" s="122" t="s">
        <v>480</v>
      </c>
      <c r="D142" s="122" t="s">
        <v>20</v>
      </c>
      <c r="E142" s="270"/>
      <c r="F142" s="271"/>
      <c r="G142" s="270"/>
      <c r="H142" s="271"/>
      <c r="I142" s="270"/>
      <c r="J142" s="271"/>
      <c r="K142" s="284"/>
      <c r="L142" s="285"/>
      <c r="M142" s="67"/>
      <c r="N142" s="270"/>
      <c r="O142" s="271"/>
      <c r="P142" s="270"/>
      <c r="Q142" s="271"/>
      <c r="R142" s="270"/>
      <c r="S142" s="271"/>
      <c r="T142" s="284"/>
      <c r="U142" s="285"/>
      <c r="V142" s="67"/>
      <c r="W142" s="68"/>
      <c r="X142" s="68"/>
      <c r="Y142" s="68"/>
    </row>
    <row r="143" spans="1:25" s="59" customFormat="1" ht="15.75" customHeight="1">
      <c r="A143" s="60">
        <v>2</v>
      </c>
      <c r="B143" s="119">
        <v>2</v>
      </c>
      <c r="C143" s="122" t="s">
        <v>481</v>
      </c>
      <c r="D143" s="122" t="s">
        <v>20</v>
      </c>
      <c r="E143" s="270"/>
      <c r="F143" s="271"/>
      <c r="G143" s="270"/>
      <c r="H143" s="271"/>
      <c r="I143" s="270"/>
      <c r="J143" s="271"/>
      <c r="K143" s="284"/>
      <c r="L143" s="285"/>
      <c r="M143" s="67"/>
      <c r="N143" s="270"/>
      <c r="O143" s="271"/>
      <c r="P143" s="270"/>
      <c r="Q143" s="271"/>
      <c r="R143" s="270"/>
      <c r="S143" s="271"/>
      <c r="T143" s="284"/>
      <c r="U143" s="285"/>
      <c r="V143" s="67"/>
      <c r="W143" s="68"/>
      <c r="X143" s="68"/>
      <c r="Y143" s="68"/>
    </row>
    <row r="144" spans="1:25" s="59" customFormat="1" ht="15.75" customHeight="1">
      <c r="A144" s="60">
        <v>3</v>
      </c>
      <c r="B144" s="119">
        <v>3</v>
      </c>
      <c r="C144" s="122" t="s">
        <v>482</v>
      </c>
      <c r="D144" s="122" t="s">
        <v>16</v>
      </c>
      <c r="E144" s="270"/>
      <c r="F144" s="271"/>
      <c r="G144" s="270"/>
      <c r="H144" s="271"/>
      <c r="I144" s="270"/>
      <c r="J144" s="271"/>
      <c r="K144" s="284"/>
      <c r="L144" s="285"/>
      <c r="M144" s="67"/>
      <c r="N144" s="270"/>
      <c r="O144" s="271"/>
      <c r="P144" s="270"/>
      <c r="Q144" s="271"/>
      <c r="R144" s="270"/>
      <c r="S144" s="271"/>
      <c r="T144" s="284"/>
      <c r="U144" s="285"/>
      <c r="V144" s="67"/>
      <c r="W144" s="68"/>
      <c r="X144" s="68"/>
      <c r="Y144" s="68"/>
    </row>
    <row r="145" spans="1:25" s="59" customFormat="1" ht="15.75" customHeight="1">
      <c r="A145" s="60">
        <v>4</v>
      </c>
      <c r="B145" s="119">
        <v>4</v>
      </c>
      <c r="C145" s="122" t="s">
        <v>483</v>
      </c>
      <c r="D145" s="122" t="s">
        <v>16</v>
      </c>
      <c r="E145" s="270"/>
      <c r="F145" s="271"/>
      <c r="G145" s="270"/>
      <c r="H145" s="271"/>
      <c r="I145" s="270"/>
      <c r="J145" s="271"/>
      <c r="K145" s="284"/>
      <c r="L145" s="285"/>
      <c r="M145" s="67"/>
      <c r="N145" s="270"/>
      <c r="O145" s="271"/>
      <c r="P145" s="270"/>
      <c r="Q145" s="271"/>
      <c r="R145" s="270"/>
      <c r="S145" s="271"/>
      <c r="T145" s="284"/>
      <c r="U145" s="285"/>
      <c r="V145" s="67"/>
      <c r="W145" s="68"/>
      <c r="X145" s="68"/>
      <c r="Y145" s="68"/>
    </row>
    <row r="146" spans="1:25" s="59" customFormat="1" ht="15.75" customHeight="1">
      <c r="A146" s="60">
        <v>5</v>
      </c>
      <c r="B146" s="119">
        <v>5</v>
      </c>
      <c r="C146" s="122" t="s">
        <v>484</v>
      </c>
      <c r="D146" s="122" t="s">
        <v>18</v>
      </c>
      <c r="E146" s="270"/>
      <c r="F146" s="271"/>
      <c r="G146" s="270"/>
      <c r="H146" s="271"/>
      <c r="I146" s="270"/>
      <c r="J146" s="271"/>
      <c r="K146" s="284"/>
      <c r="L146" s="285"/>
      <c r="M146" s="67"/>
      <c r="N146" s="270"/>
      <c r="O146" s="271"/>
      <c r="P146" s="270"/>
      <c r="Q146" s="271"/>
      <c r="R146" s="270"/>
      <c r="S146" s="271"/>
      <c r="T146" s="284"/>
      <c r="U146" s="285"/>
      <c r="V146" s="67"/>
      <c r="W146" s="68"/>
      <c r="X146" s="68"/>
      <c r="Y146" s="68"/>
    </row>
    <row r="147" spans="1:25" s="59" customFormat="1" ht="15.75" customHeight="1">
      <c r="A147" s="60">
        <v>6</v>
      </c>
      <c r="B147" s="119">
        <v>6</v>
      </c>
      <c r="C147" s="122" t="s">
        <v>485</v>
      </c>
      <c r="D147" s="122" t="s">
        <v>18</v>
      </c>
      <c r="E147" s="270"/>
      <c r="F147" s="271"/>
      <c r="G147" s="270"/>
      <c r="H147" s="271"/>
      <c r="I147" s="270"/>
      <c r="J147" s="271"/>
      <c r="K147" s="284"/>
      <c r="L147" s="285"/>
      <c r="M147" s="67"/>
      <c r="N147" s="270"/>
      <c r="O147" s="271"/>
      <c r="P147" s="270"/>
      <c r="Q147" s="271"/>
      <c r="R147" s="270"/>
      <c r="S147" s="271"/>
      <c r="T147" s="284"/>
      <c r="U147" s="285"/>
      <c r="V147" s="67"/>
      <c r="W147" s="68"/>
      <c r="X147" s="68"/>
      <c r="Y147" s="68"/>
    </row>
    <row r="148" spans="1:25" s="59" customFormat="1" ht="15.75" customHeight="1">
      <c r="A148" s="60">
        <v>7</v>
      </c>
      <c r="B148" s="119">
        <v>7</v>
      </c>
      <c r="C148" s="122" t="s">
        <v>486</v>
      </c>
      <c r="D148" s="122" t="s">
        <v>22</v>
      </c>
      <c r="E148" s="270"/>
      <c r="F148" s="271"/>
      <c r="G148" s="270"/>
      <c r="H148" s="271"/>
      <c r="I148" s="270"/>
      <c r="J148" s="271"/>
      <c r="K148" s="284"/>
      <c r="L148" s="285"/>
      <c r="M148" s="67"/>
      <c r="N148" s="270"/>
      <c r="O148" s="271"/>
      <c r="P148" s="270"/>
      <c r="Q148" s="271"/>
      <c r="R148" s="270"/>
      <c r="S148" s="271"/>
      <c r="T148" s="284"/>
      <c r="U148" s="285"/>
      <c r="V148" s="67"/>
      <c r="W148" s="68"/>
      <c r="X148" s="68"/>
      <c r="Y148" s="68"/>
    </row>
    <row r="149" spans="1:25" s="59" customFormat="1" ht="15.75" customHeight="1">
      <c r="A149" s="60">
        <v>8</v>
      </c>
      <c r="B149" s="119">
        <v>9</v>
      </c>
      <c r="C149" s="122" t="s">
        <v>487</v>
      </c>
      <c r="D149" s="122" t="s">
        <v>92</v>
      </c>
      <c r="E149" s="270"/>
      <c r="F149" s="271"/>
      <c r="G149" s="270"/>
      <c r="H149" s="271"/>
      <c r="I149" s="270"/>
      <c r="J149" s="271"/>
      <c r="K149" s="284"/>
      <c r="L149" s="285"/>
      <c r="M149" s="67"/>
      <c r="N149" s="270"/>
      <c r="O149" s="271"/>
      <c r="P149" s="270"/>
      <c r="Q149" s="271"/>
      <c r="R149" s="270"/>
      <c r="S149" s="271"/>
      <c r="T149" s="284"/>
      <c r="U149" s="285"/>
      <c r="V149" s="67"/>
      <c r="W149" s="68"/>
      <c r="X149" s="68"/>
      <c r="Y149" s="68"/>
    </row>
    <row r="150" spans="1:25" s="59" customFormat="1" ht="15.75" customHeight="1">
      <c r="A150" s="60">
        <v>9</v>
      </c>
      <c r="B150" s="119">
        <v>10</v>
      </c>
      <c r="C150" s="122" t="s">
        <v>488</v>
      </c>
      <c r="D150" s="122" t="s">
        <v>92</v>
      </c>
      <c r="E150" s="270"/>
      <c r="F150" s="271"/>
      <c r="G150" s="270"/>
      <c r="H150" s="271"/>
      <c r="I150" s="270"/>
      <c r="J150" s="271"/>
      <c r="K150" s="284"/>
      <c r="L150" s="285"/>
      <c r="M150" s="67"/>
      <c r="N150" s="270"/>
      <c r="O150" s="271"/>
      <c r="P150" s="270"/>
      <c r="Q150" s="271"/>
      <c r="R150" s="270"/>
      <c r="S150" s="271"/>
      <c r="T150" s="284"/>
      <c r="U150" s="285"/>
      <c r="V150" s="67"/>
      <c r="W150" s="68"/>
      <c r="X150" s="68"/>
      <c r="Y150" s="68"/>
    </row>
    <row r="151" spans="1:25" s="59" customFormat="1" ht="15.75" customHeight="1">
      <c r="A151" s="60">
        <v>10</v>
      </c>
      <c r="B151" s="119">
        <v>11</v>
      </c>
      <c r="C151" s="122" t="s">
        <v>489</v>
      </c>
      <c r="D151" s="122" t="s">
        <v>19</v>
      </c>
      <c r="E151" s="270"/>
      <c r="F151" s="271"/>
      <c r="G151" s="270"/>
      <c r="H151" s="271"/>
      <c r="I151" s="270"/>
      <c r="J151" s="271"/>
      <c r="K151" s="284"/>
      <c r="L151" s="285"/>
      <c r="M151" s="67"/>
      <c r="N151" s="270"/>
      <c r="O151" s="271"/>
      <c r="P151" s="270"/>
      <c r="Q151" s="271"/>
      <c r="R151" s="270"/>
      <c r="S151" s="271"/>
      <c r="T151" s="284"/>
      <c r="U151" s="285"/>
      <c r="V151" s="67"/>
      <c r="W151" s="68"/>
      <c r="X151" s="68"/>
      <c r="Y151" s="68"/>
    </row>
    <row r="152" spans="1:25" s="59" customFormat="1" ht="15.75" customHeight="1">
      <c r="A152" s="60">
        <v>11</v>
      </c>
      <c r="B152" s="119">
        <v>12</v>
      </c>
      <c r="C152" s="122" t="s">
        <v>490</v>
      </c>
      <c r="D152" s="122" t="s">
        <v>19</v>
      </c>
      <c r="E152" s="270"/>
      <c r="F152" s="271"/>
      <c r="G152" s="270"/>
      <c r="H152" s="271"/>
      <c r="I152" s="270"/>
      <c r="J152" s="271"/>
      <c r="K152" s="284"/>
      <c r="L152" s="285"/>
      <c r="M152" s="67"/>
      <c r="N152" s="270"/>
      <c r="O152" s="271"/>
      <c r="P152" s="270"/>
      <c r="Q152" s="271"/>
      <c r="R152" s="270"/>
      <c r="S152" s="271"/>
      <c r="T152" s="284"/>
      <c r="U152" s="285"/>
      <c r="V152" s="67"/>
      <c r="W152" s="68"/>
      <c r="X152" s="68"/>
      <c r="Y152" s="68"/>
    </row>
    <row r="153" spans="1:25" s="59" customFormat="1" ht="15.75" customHeight="1">
      <c r="A153" s="60"/>
      <c r="B153" s="119"/>
      <c r="C153" s="122"/>
      <c r="D153" s="122"/>
      <c r="E153" s="366"/>
      <c r="F153" s="367"/>
      <c r="G153" s="366"/>
      <c r="H153" s="367"/>
      <c r="I153" s="366"/>
      <c r="J153" s="367"/>
      <c r="K153" s="368"/>
      <c r="L153" s="369"/>
      <c r="M153" s="67"/>
      <c r="N153" s="366"/>
      <c r="O153" s="367"/>
      <c r="P153" s="366"/>
      <c r="Q153" s="367"/>
      <c r="R153" s="366"/>
      <c r="S153" s="367"/>
      <c r="T153" s="368"/>
      <c r="U153" s="369"/>
      <c r="V153" s="67"/>
      <c r="W153" s="68"/>
      <c r="X153" s="68"/>
      <c r="Y153" s="68"/>
    </row>
    <row r="154" spans="1:25" s="59" customFormat="1" ht="15.75" customHeight="1">
      <c r="A154" s="60"/>
      <c r="B154" s="119"/>
      <c r="C154" s="119"/>
      <c r="D154" s="119"/>
      <c r="E154" s="366"/>
      <c r="F154" s="367"/>
      <c r="G154" s="366"/>
      <c r="H154" s="367"/>
      <c r="I154" s="366"/>
      <c r="J154" s="367"/>
      <c r="K154" s="368"/>
      <c r="L154" s="369"/>
      <c r="M154" s="67"/>
      <c r="N154" s="366"/>
      <c r="O154" s="367"/>
      <c r="P154" s="366"/>
      <c r="Q154" s="367"/>
      <c r="R154" s="366"/>
      <c r="S154" s="367"/>
      <c r="T154" s="368"/>
      <c r="U154" s="369"/>
      <c r="V154" s="67"/>
      <c r="W154" s="68"/>
      <c r="X154" s="68"/>
      <c r="Y154" s="68"/>
    </row>
    <row r="155" spans="1:25" s="59" customFormat="1" ht="15.75" customHeight="1">
      <c r="A155" s="60"/>
      <c r="B155" s="119"/>
      <c r="C155" s="119"/>
      <c r="D155" s="119"/>
      <c r="E155" s="366"/>
      <c r="F155" s="367"/>
      <c r="G155" s="366"/>
      <c r="H155" s="367"/>
      <c r="I155" s="366"/>
      <c r="J155" s="367"/>
      <c r="K155" s="368"/>
      <c r="L155" s="369"/>
      <c r="M155" s="67"/>
      <c r="N155" s="366"/>
      <c r="O155" s="367"/>
      <c r="P155" s="366"/>
      <c r="Q155" s="367"/>
      <c r="R155" s="366"/>
      <c r="S155" s="367"/>
      <c r="T155" s="368"/>
      <c r="U155" s="369"/>
      <c r="V155" s="67"/>
      <c r="W155" s="68"/>
      <c r="X155" s="68"/>
      <c r="Y155" s="68"/>
    </row>
    <row r="156" spans="1:25" s="59" customFormat="1" ht="15.75" customHeight="1">
      <c r="A156" s="60"/>
      <c r="B156" s="119"/>
      <c r="C156" s="119"/>
      <c r="D156" s="119"/>
      <c r="E156" s="366"/>
      <c r="F156" s="367"/>
      <c r="G156" s="366"/>
      <c r="H156" s="367"/>
      <c r="I156" s="366"/>
      <c r="J156" s="367"/>
      <c r="K156" s="368"/>
      <c r="L156" s="369"/>
      <c r="M156" s="67"/>
      <c r="N156" s="366"/>
      <c r="O156" s="367"/>
      <c r="P156" s="366"/>
      <c r="Q156" s="367"/>
      <c r="R156" s="366"/>
      <c r="S156" s="367"/>
      <c r="T156" s="368"/>
      <c r="U156" s="369"/>
      <c r="V156" s="67"/>
      <c r="W156" s="68"/>
      <c r="X156" s="68"/>
      <c r="Y156" s="68"/>
    </row>
    <row r="157" spans="1:25" s="59" customFormat="1" ht="15.75" customHeight="1">
      <c r="A157" s="60"/>
      <c r="B157" s="65"/>
      <c r="C157" s="66"/>
      <c r="D157" s="66"/>
      <c r="E157" s="366"/>
      <c r="F157" s="367"/>
      <c r="G157" s="366"/>
      <c r="H157" s="367"/>
      <c r="I157" s="366"/>
      <c r="J157" s="367"/>
      <c r="K157" s="368"/>
      <c r="L157" s="369"/>
      <c r="M157" s="67"/>
      <c r="N157" s="366"/>
      <c r="O157" s="367"/>
      <c r="P157" s="366"/>
      <c r="Q157" s="367"/>
      <c r="R157" s="366"/>
      <c r="S157" s="367"/>
      <c r="T157" s="368"/>
      <c r="U157" s="369"/>
      <c r="V157" s="67"/>
      <c r="W157" s="68"/>
      <c r="X157" s="68"/>
      <c r="Y157" s="68"/>
    </row>
    <row r="158" spans="1:4" s="59" customFormat="1" ht="12.75">
      <c r="A158" s="69"/>
      <c r="C158" s="70"/>
      <c r="D158" s="70"/>
    </row>
    <row r="159" spans="1:25" s="59" customFormat="1" ht="12.75">
      <c r="A159" s="394" t="s">
        <v>172</v>
      </c>
      <c r="B159" s="395"/>
      <c r="C159" s="395"/>
      <c r="D159" s="395"/>
      <c r="E159" s="395"/>
      <c r="F159" s="395"/>
      <c r="G159" s="341" t="s">
        <v>172</v>
      </c>
      <c r="H159" s="396"/>
      <c r="I159" s="396"/>
      <c r="J159" s="396"/>
      <c r="K159" s="396"/>
      <c r="L159" s="396"/>
      <c r="M159" s="396"/>
      <c r="N159" s="396"/>
      <c r="O159" s="396"/>
      <c r="P159" s="396"/>
      <c r="Q159" s="396"/>
      <c r="R159" s="397"/>
      <c r="S159" s="354" t="s">
        <v>173</v>
      </c>
      <c r="T159" s="360"/>
      <c r="U159" s="360"/>
      <c r="V159" s="360"/>
      <c r="W159" s="360"/>
      <c r="X159" s="360"/>
      <c r="Y159" s="361"/>
    </row>
    <row r="160" spans="1:25" s="59" customFormat="1" ht="12.75">
      <c r="A160" s="60" t="s">
        <v>0</v>
      </c>
      <c r="B160" s="60" t="s">
        <v>174</v>
      </c>
      <c r="C160" s="60" t="s">
        <v>156</v>
      </c>
      <c r="D160" s="60" t="s">
        <v>157</v>
      </c>
      <c r="E160" s="353" t="s">
        <v>175</v>
      </c>
      <c r="F160" s="353"/>
      <c r="G160" s="63" t="s">
        <v>0</v>
      </c>
      <c r="H160" s="64" t="s">
        <v>174</v>
      </c>
      <c r="I160" s="354" t="s">
        <v>156</v>
      </c>
      <c r="J160" s="360"/>
      <c r="K160" s="360"/>
      <c r="L160" s="361"/>
      <c r="M160" s="391" t="s">
        <v>157</v>
      </c>
      <c r="N160" s="392"/>
      <c r="O160" s="392"/>
      <c r="P160" s="393"/>
      <c r="Q160" s="354" t="s">
        <v>175</v>
      </c>
      <c r="R160" s="361"/>
      <c r="S160" s="72"/>
      <c r="T160" s="73"/>
      <c r="U160" s="73"/>
      <c r="V160" s="57"/>
      <c r="W160" s="57"/>
      <c r="X160" s="57"/>
      <c r="Y160" s="58"/>
    </row>
    <row r="161" spans="1:25" s="59" customFormat="1" ht="15.75" customHeight="1">
      <c r="A161" s="60">
        <v>1</v>
      </c>
      <c r="B161" s="71"/>
      <c r="C161" s="74"/>
      <c r="D161" s="74"/>
      <c r="E161" s="384"/>
      <c r="F161" s="385"/>
      <c r="G161" s="247">
        <v>9</v>
      </c>
      <c r="H161" s="71"/>
      <c r="I161" s="386"/>
      <c r="J161" s="387"/>
      <c r="K161" s="387"/>
      <c r="L161" s="388"/>
      <c r="M161" s="386"/>
      <c r="N161" s="387"/>
      <c r="O161" s="387"/>
      <c r="P161" s="388"/>
      <c r="Q161" s="384"/>
      <c r="R161" s="385"/>
      <c r="S161" s="76"/>
      <c r="T161" s="77"/>
      <c r="U161" s="77"/>
      <c r="V161" s="78"/>
      <c r="W161" s="78"/>
      <c r="X161" s="78"/>
      <c r="Y161" s="79"/>
    </row>
    <row r="162" spans="1:25" s="59" customFormat="1" ht="15.75" customHeight="1">
      <c r="A162" s="60">
        <v>2</v>
      </c>
      <c r="B162" s="71"/>
      <c r="C162" s="74"/>
      <c r="D162" s="74"/>
      <c r="E162" s="384"/>
      <c r="F162" s="385"/>
      <c r="G162" s="247">
        <v>10</v>
      </c>
      <c r="H162" s="71"/>
      <c r="I162" s="386"/>
      <c r="J162" s="387"/>
      <c r="K162" s="387"/>
      <c r="L162" s="388"/>
      <c r="M162" s="386"/>
      <c r="N162" s="387"/>
      <c r="O162" s="387"/>
      <c r="P162" s="388"/>
      <c r="Q162" s="389"/>
      <c r="R162" s="390"/>
      <c r="S162" s="72"/>
      <c r="T162" s="73"/>
      <c r="U162" s="73"/>
      <c r="V162" s="57"/>
      <c r="W162" s="57"/>
      <c r="X162" s="57"/>
      <c r="Y162" s="58"/>
    </row>
    <row r="163" spans="1:25" s="59" customFormat="1" ht="15.75" customHeight="1">
      <c r="A163" s="60">
        <v>3</v>
      </c>
      <c r="B163" s="71"/>
      <c r="C163" s="74"/>
      <c r="D163" s="74"/>
      <c r="E163" s="384"/>
      <c r="F163" s="385"/>
      <c r="G163" s="247">
        <v>11</v>
      </c>
      <c r="H163" s="71"/>
      <c r="I163" s="386"/>
      <c r="J163" s="387"/>
      <c r="K163" s="387"/>
      <c r="L163" s="388"/>
      <c r="M163" s="386"/>
      <c r="N163" s="387"/>
      <c r="O163" s="387"/>
      <c r="P163" s="388"/>
      <c r="Q163" s="389"/>
      <c r="R163" s="390"/>
      <c r="S163" s="76"/>
      <c r="T163" s="77"/>
      <c r="U163" s="77"/>
      <c r="V163" s="78"/>
      <c r="W163" s="78"/>
      <c r="X163" s="78"/>
      <c r="Y163" s="79"/>
    </row>
    <row r="164" spans="1:25" s="59" customFormat="1" ht="15.75" customHeight="1">
      <c r="A164" s="60">
        <v>4</v>
      </c>
      <c r="B164" s="71"/>
      <c r="C164" s="74"/>
      <c r="D164" s="74"/>
      <c r="E164" s="384"/>
      <c r="F164" s="385"/>
      <c r="G164" s="247">
        <v>12</v>
      </c>
      <c r="H164" s="71"/>
      <c r="I164" s="386"/>
      <c r="J164" s="387"/>
      <c r="K164" s="387"/>
      <c r="L164" s="388"/>
      <c r="M164" s="386"/>
      <c r="N164" s="387"/>
      <c r="O164" s="387"/>
      <c r="P164" s="388"/>
      <c r="Q164" s="389"/>
      <c r="R164" s="390"/>
      <c r="S164" s="72"/>
      <c r="T164" s="73"/>
      <c r="U164" s="73"/>
      <c r="V164" s="57"/>
      <c r="W164" s="57"/>
      <c r="X164" s="57"/>
      <c r="Y164" s="58"/>
    </row>
    <row r="165" spans="1:25" s="59" customFormat="1" ht="15.75" customHeight="1">
      <c r="A165" s="60">
        <v>5</v>
      </c>
      <c r="B165" s="71"/>
      <c r="C165" s="74"/>
      <c r="D165" s="74"/>
      <c r="E165" s="384"/>
      <c r="F165" s="385"/>
      <c r="G165" s="247">
        <v>13</v>
      </c>
      <c r="H165" s="71"/>
      <c r="I165" s="386"/>
      <c r="J165" s="387"/>
      <c r="K165" s="387"/>
      <c r="L165" s="388"/>
      <c r="M165" s="386"/>
      <c r="N165" s="387"/>
      <c r="O165" s="387"/>
      <c r="P165" s="388"/>
      <c r="Q165" s="389"/>
      <c r="R165" s="390"/>
      <c r="S165" s="76"/>
      <c r="T165" s="77"/>
      <c r="U165" s="77"/>
      <c r="V165" s="78"/>
      <c r="W165" s="78"/>
      <c r="X165" s="78"/>
      <c r="Y165" s="79"/>
    </row>
    <row r="166" spans="1:25" s="59" customFormat="1" ht="15.75" customHeight="1">
      <c r="A166" s="60">
        <v>6</v>
      </c>
      <c r="B166" s="71"/>
      <c r="C166" s="74"/>
      <c r="D166" s="74"/>
      <c r="E166" s="384"/>
      <c r="F166" s="385"/>
      <c r="G166" s="247">
        <v>14</v>
      </c>
      <c r="H166" s="71"/>
      <c r="I166" s="386"/>
      <c r="J166" s="387"/>
      <c r="K166" s="387"/>
      <c r="L166" s="388"/>
      <c r="M166" s="386"/>
      <c r="N166" s="387"/>
      <c r="O166" s="387"/>
      <c r="P166" s="388"/>
      <c r="Q166" s="389"/>
      <c r="R166" s="390"/>
      <c r="S166" s="354" t="s">
        <v>176</v>
      </c>
      <c r="T166" s="360"/>
      <c r="U166" s="360"/>
      <c r="V166" s="360"/>
      <c r="W166" s="360"/>
      <c r="X166" s="360"/>
      <c r="Y166" s="361"/>
    </row>
    <row r="167" spans="1:25" s="59" customFormat="1" ht="15.75" customHeight="1">
      <c r="A167" s="60">
        <v>7</v>
      </c>
      <c r="B167" s="71"/>
      <c r="C167" s="74"/>
      <c r="D167" s="74"/>
      <c r="E167" s="384"/>
      <c r="F167" s="385"/>
      <c r="G167" s="247">
        <v>15</v>
      </c>
      <c r="H167" s="71"/>
      <c r="I167" s="386"/>
      <c r="J167" s="387"/>
      <c r="K167" s="387"/>
      <c r="L167" s="388"/>
      <c r="M167" s="386"/>
      <c r="N167" s="387"/>
      <c r="O167" s="387"/>
      <c r="P167" s="388"/>
      <c r="Q167" s="389"/>
      <c r="R167" s="390"/>
      <c r="S167" s="72"/>
      <c r="T167" s="73"/>
      <c r="U167" s="73"/>
      <c r="V167" s="57"/>
      <c r="W167" s="57"/>
      <c r="X167" s="57"/>
      <c r="Y167" s="58"/>
    </row>
    <row r="168" spans="1:25" s="59" customFormat="1" ht="15.75" customHeight="1">
      <c r="A168" s="60">
        <v>8</v>
      </c>
      <c r="B168" s="71"/>
      <c r="C168" s="74"/>
      <c r="D168" s="74"/>
      <c r="E168" s="384"/>
      <c r="F168" s="385"/>
      <c r="G168" s="247">
        <v>16</v>
      </c>
      <c r="H168" s="71"/>
      <c r="I168" s="386"/>
      <c r="J168" s="387"/>
      <c r="K168" s="387"/>
      <c r="L168" s="388"/>
      <c r="M168" s="386"/>
      <c r="N168" s="387"/>
      <c r="O168" s="387"/>
      <c r="P168" s="388"/>
      <c r="Q168" s="389"/>
      <c r="R168" s="390"/>
      <c r="S168" s="76"/>
      <c r="T168" s="77"/>
      <c r="U168" s="77"/>
      <c r="V168" s="78"/>
      <c r="W168" s="78"/>
      <c r="X168" s="78"/>
      <c r="Y168" s="79"/>
    </row>
    <row r="171" spans="1:25" s="59" customFormat="1" ht="20.25">
      <c r="A171" s="336" t="s">
        <v>147</v>
      </c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8"/>
    </row>
    <row r="172" spans="1:25" s="59" customFormat="1" ht="15.75" customHeight="1">
      <c r="A172" s="339" t="s">
        <v>148</v>
      </c>
      <c r="B172" s="340"/>
      <c r="C172" s="341" t="s">
        <v>177</v>
      </c>
      <c r="D172" s="342"/>
      <c r="E172" s="339" t="s">
        <v>149</v>
      </c>
      <c r="F172" s="343"/>
      <c r="G172" s="340"/>
      <c r="H172" s="341" t="s">
        <v>360</v>
      </c>
      <c r="I172" s="344"/>
      <c r="J172" s="345"/>
      <c r="K172" s="345"/>
      <c r="L172" s="346"/>
      <c r="M172" s="347" t="s">
        <v>150</v>
      </c>
      <c r="N172" s="348"/>
      <c r="O172" s="349"/>
      <c r="P172" s="350" t="s">
        <v>368</v>
      </c>
      <c r="Q172" s="351"/>
      <c r="R172" s="351"/>
      <c r="S172" s="351"/>
      <c r="T172" s="351"/>
      <c r="U172" s="351"/>
      <c r="V172" s="351"/>
      <c r="W172" s="351"/>
      <c r="X172" s="351"/>
      <c r="Y172" s="352"/>
    </row>
    <row r="173" spans="1:25" s="59" customFormat="1" ht="15.75" customHeight="1">
      <c r="A173" s="339" t="s">
        <v>179</v>
      </c>
      <c r="B173" s="340"/>
      <c r="C173" s="377" t="s">
        <v>190</v>
      </c>
      <c r="D173" s="378"/>
      <c r="E173" s="339" t="s">
        <v>151</v>
      </c>
      <c r="F173" s="343"/>
      <c r="G173" s="340"/>
      <c r="H173" s="379" t="s">
        <v>197</v>
      </c>
      <c r="I173" s="380"/>
      <c r="J173" s="339" t="s">
        <v>152</v>
      </c>
      <c r="K173" s="343"/>
      <c r="L173" s="340"/>
      <c r="M173" s="381"/>
      <c r="N173" s="375"/>
      <c r="O173" s="376"/>
      <c r="P173" s="373" t="s">
        <v>153</v>
      </c>
      <c r="Q173" s="374"/>
      <c r="R173" s="375"/>
      <c r="S173" s="375"/>
      <c r="T173" s="375" t="e">
        <f>VLOOKUP(I171,eventslist,4,FALSE)</f>
        <v>#NAME?</v>
      </c>
      <c r="U173" s="375"/>
      <c r="V173" s="375" t="e">
        <f>VLOOKUP(K171,eventslist,4,FALSE)</f>
        <v>#NAME?</v>
      </c>
      <c r="W173" s="375"/>
      <c r="X173" s="375" t="e">
        <f>VLOOKUP(M171,eventslist,4,FALSE)</f>
        <v>#NAME?</v>
      </c>
      <c r="Y173" s="376"/>
    </row>
    <row r="174" spans="1:25" s="59" customFormat="1" ht="31.5" customHeight="1">
      <c r="A174" s="60" t="s">
        <v>154</v>
      </c>
      <c r="B174" s="60" t="s">
        <v>155</v>
      </c>
      <c r="C174" s="61" t="s">
        <v>156</v>
      </c>
      <c r="D174" s="62" t="s">
        <v>157</v>
      </c>
      <c r="E174" s="362" t="s">
        <v>158</v>
      </c>
      <c r="F174" s="357"/>
      <c r="G174" s="357" t="s">
        <v>159</v>
      </c>
      <c r="H174" s="357"/>
      <c r="I174" s="357" t="s">
        <v>160</v>
      </c>
      <c r="J174" s="357"/>
      <c r="K174" s="357" t="s">
        <v>161</v>
      </c>
      <c r="L174" s="357"/>
      <c r="M174" s="355" t="s">
        <v>162</v>
      </c>
      <c r="N174" s="357" t="s">
        <v>163</v>
      </c>
      <c r="O174" s="357"/>
      <c r="P174" s="357" t="s">
        <v>164</v>
      </c>
      <c r="Q174" s="357"/>
      <c r="R174" s="357" t="s">
        <v>165</v>
      </c>
      <c r="S174" s="357"/>
      <c r="T174" s="357" t="s">
        <v>166</v>
      </c>
      <c r="U174" s="358"/>
      <c r="V174" s="359" t="s">
        <v>167</v>
      </c>
      <c r="W174" s="354" t="s">
        <v>168</v>
      </c>
      <c r="X174" s="360"/>
      <c r="Y174" s="361"/>
    </row>
    <row r="175" spans="1:25" s="59" customFormat="1" ht="12.75">
      <c r="A175" s="63"/>
      <c r="B175" s="63"/>
      <c r="C175" s="120" t="s">
        <v>383</v>
      </c>
      <c r="D175" s="370" t="s">
        <v>308</v>
      </c>
      <c r="E175" s="371"/>
      <c r="F175" s="372"/>
      <c r="G175" s="353" t="s">
        <v>169</v>
      </c>
      <c r="H175" s="353"/>
      <c r="I175" s="353" t="s">
        <v>169</v>
      </c>
      <c r="J175" s="353"/>
      <c r="K175" s="353" t="s">
        <v>169</v>
      </c>
      <c r="L175" s="353"/>
      <c r="M175" s="356"/>
      <c r="N175" s="353" t="s">
        <v>169</v>
      </c>
      <c r="O175" s="353"/>
      <c r="P175" s="353" t="s">
        <v>169</v>
      </c>
      <c r="Q175" s="353"/>
      <c r="R175" s="353" t="s">
        <v>169</v>
      </c>
      <c r="S175" s="353"/>
      <c r="T175" s="353" t="s">
        <v>169</v>
      </c>
      <c r="U175" s="354"/>
      <c r="V175" s="355"/>
      <c r="W175" s="60"/>
      <c r="X175" s="60" t="s">
        <v>170</v>
      </c>
      <c r="Y175" s="60" t="s">
        <v>171</v>
      </c>
    </row>
    <row r="176" spans="1:25" s="59" customFormat="1" ht="15.75" customHeight="1">
      <c r="A176" s="63">
        <v>1</v>
      </c>
      <c r="B176" s="119">
        <v>1</v>
      </c>
      <c r="C176" s="122" t="s">
        <v>503</v>
      </c>
      <c r="D176" s="122" t="s">
        <v>20</v>
      </c>
      <c r="E176" s="270"/>
      <c r="F176" s="271"/>
      <c r="G176" s="270"/>
      <c r="H176" s="271"/>
      <c r="I176" s="270"/>
      <c r="J176" s="271"/>
      <c r="K176" s="284"/>
      <c r="L176" s="285"/>
      <c r="M176" s="67"/>
      <c r="N176" s="270"/>
      <c r="O176" s="271"/>
      <c r="P176" s="270"/>
      <c r="Q176" s="271"/>
      <c r="R176" s="270"/>
      <c r="S176" s="271"/>
      <c r="T176" s="284"/>
      <c r="U176" s="285"/>
      <c r="V176" s="67"/>
      <c r="W176" s="68"/>
      <c r="X176" s="68"/>
      <c r="Y176" s="68"/>
    </row>
    <row r="177" spans="1:25" s="59" customFormat="1" ht="15.75" customHeight="1">
      <c r="A177" s="60">
        <v>2</v>
      </c>
      <c r="B177" s="119">
        <v>2</v>
      </c>
      <c r="C177" s="122" t="s">
        <v>504</v>
      </c>
      <c r="D177" s="122" t="s">
        <v>20</v>
      </c>
      <c r="E177" s="270"/>
      <c r="F177" s="271"/>
      <c r="G177" s="270"/>
      <c r="H177" s="271"/>
      <c r="I177" s="270"/>
      <c r="J177" s="271"/>
      <c r="K177" s="284"/>
      <c r="L177" s="285"/>
      <c r="M177" s="67"/>
      <c r="N177" s="270"/>
      <c r="O177" s="271"/>
      <c r="P177" s="270"/>
      <c r="Q177" s="271"/>
      <c r="R177" s="270"/>
      <c r="S177" s="271"/>
      <c r="T177" s="284"/>
      <c r="U177" s="285"/>
      <c r="V177" s="67"/>
      <c r="W177" s="68"/>
      <c r="X177" s="68"/>
      <c r="Y177" s="68"/>
    </row>
    <row r="178" spans="1:25" s="59" customFormat="1" ht="15.75" customHeight="1">
      <c r="A178" s="60">
        <v>3</v>
      </c>
      <c r="B178" s="119">
        <v>3</v>
      </c>
      <c r="C178" s="122" t="s">
        <v>505</v>
      </c>
      <c r="D178" s="122" t="s">
        <v>16</v>
      </c>
      <c r="E178" s="270"/>
      <c r="F178" s="271"/>
      <c r="G178" s="270"/>
      <c r="H178" s="271"/>
      <c r="I178" s="270"/>
      <c r="J178" s="271"/>
      <c r="K178" s="284"/>
      <c r="L178" s="285"/>
      <c r="M178" s="67"/>
      <c r="N178" s="270"/>
      <c r="O178" s="271"/>
      <c r="P178" s="270"/>
      <c r="Q178" s="271"/>
      <c r="R178" s="270"/>
      <c r="S178" s="271"/>
      <c r="T178" s="284"/>
      <c r="U178" s="285"/>
      <c r="V178" s="67"/>
      <c r="W178" s="68"/>
      <c r="X178" s="68"/>
      <c r="Y178" s="68"/>
    </row>
    <row r="179" spans="1:25" s="59" customFormat="1" ht="15.75" customHeight="1">
      <c r="A179" s="60">
        <v>4</v>
      </c>
      <c r="B179" s="119">
        <v>4</v>
      </c>
      <c r="C179" s="122" t="s">
        <v>506</v>
      </c>
      <c r="D179" s="122" t="s">
        <v>16</v>
      </c>
      <c r="E179" s="270"/>
      <c r="F179" s="271"/>
      <c r="G179" s="270"/>
      <c r="H179" s="271"/>
      <c r="I179" s="270"/>
      <c r="J179" s="271"/>
      <c r="K179" s="284"/>
      <c r="L179" s="285"/>
      <c r="M179" s="67"/>
      <c r="N179" s="270"/>
      <c r="O179" s="271"/>
      <c r="P179" s="270"/>
      <c r="Q179" s="271"/>
      <c r="R179" s="270"/>
      <c r="S179" s="271"/>
      <c r="T179" s="284"/>
      <c r="U179" s="285"/>
      <c r="V179" s="67"/>
      <c r="W179" s="68"/>
      <c r="X179" s="68"/>
      <c r="Y179" s="68"/>
    </row>
    <row r="180" spans="1:25" s="59" customFormat="1" ht="15.75" customHeight="1">
      <c r="A180" s="60">
        <v>5</v>
      </c>
      <c r="B180" s="119">
        <v>5</v>
      </c>
      <c r="C180" s="122" t="s">
        <v>507</v>
      </c>
      <c r="D180" s="122" t="s">
        <v>18</v>
      </c>
      <c r="E180" s="270"/>
      <c r="F180" s="271"/>
      <c r="G180" s="270"/>
      <c r="H180" s="271"/>
      <c r="I180" s="270"/>
      <c r="J180" s="271"/>
      <c r="K180" s="284"/>
      <c r="L180" s="285"/>
      <c r="M180" s="67"/>
      <c r="N180" s="270"/>
      <c r="O180" s="271"/>
      <c r="P180" s="270"/>
      <c r="Q180" s="271"/>
      <c r="R180" s="270"/>
      <c r="S180" s="271"/>
      <c r="T180" s="284"/>
      <c r="U180" s="285"/>
      <c r="V180" s="67"/>
      <c r="W180" s="68"/>
      <c r="X180" s="68"/>
      <c r="Y180" s="68"/>
    </row>
    <row r="181" spans="1:25" s="59" customFormat="1" ht="15.75" customHeight="1">
      <c r="A181" s="60">
        <v>6</v>
      </c>
      <c r="B181" s="119">
        <v>6</v>
      </c>
      <c r="C181" s="122" t="s">
        <v>508</v>
      </c>
      <c r="D181" s="122" t="s">
        <v>18</v>
      </c>
      <c r="E181" s="270"/>
      <c r="F181" s="271"/>
      <c r="G181" s="270"/>
      <c r="H181" s="271"/>
      <c r="I181" s="270"/>
      <c r="J181" s="271"/>
      <c r="K181" s="284"/>
      <c r="L181" s="285"/>
      <c r="M181" s="67"/>
      <c r="N181" s="270"/>
      <c r="O181" s="271"/>
      <c r="P181" s="270"/>
      <c r="Q181" s="271"/>
      <c r="R181" s="270"/>
      <c r="S181" s="271"/>
      <c r="T181" s="284"/>
      <c r="U181" s="285"/>
      <c r="V181" s="67"/>
      <c r="W181" s="68"/>
      <c r="X181" s="68"/>
      <c r="Y181" s="68"/>
    </row>
    <row r="182" spans="1:25" s="59" customFormat="1" ht="15.75" customHeight="1">
      <c r="A182" s="60">
        <v>7</v>
      </c>
      <c r="B182" s="122">
        <v>7</v>
      </c>
      <c r="C182" s="122" t="s">
        <v>726</v>
      </c>
      <c r="D182" s="122" t="s">
        <v>22</v>
      </c>
      <c r="E182" s="270"/>
      <c r="F182" s="271"/>
      <c r="G182" s="270"/>
      <c r="H182" s="271"/>
      <c r="I182" s="270"/>
      <c r="J182" s="271"/>
      <c r="K182" s="284"/>
      <c r="L182" s="285"/>
      <c r="M182" s="67"/>
      <c r="N182" s="270"/>
      <c r="O182" s="271"/>
      <c r="P182" s="270"/>
      <c r="Q182" s="271"/>
      <c r="R182" s="270"/>
      <c r="S182" s="271"/>
      <c r="T182" s="284"/>
      <c r="U182" s="285"/>
      <c r="V182" s="67"/>
      <c r="W182" s="68"/>
      <c r="X182" s="68"/>
      <c r="Y182" s="68"/>
    </row>
    <row r="183" spans="1:25" s="59" customFormat="1" ht="15.75" customHeight="1">
      <c r="A183" s="60">
        <v>8</v>
      </c>
      <c r="B183" s="119">
        <v>8</v>
      </c>
      <c r="C183" s="122" t="s">
        <v>509</v>
      </c>
      <c r="D183" s="122" t="s">
        <v>22</v>
      </c>
      <c r="E183" s="270"/>
      <c r="F183" s="271"/>
      <c r="G183" s="270"/>
      <c r="H183" s="271"/>
      <c r="I183" s="270"/>
      <c r="J183" s="271"/>
      <c r="K183" s="284"/>
      <c r="L183" s="285"/>
      <c r="M183" s="67"/>
      <c r="N183" s="270"/>
      <c r="O183" s="271"/>
      <c r="P183" s="270"/>
      <c r="Q183" s="271"/>
      <c r="R183" s="270"/>
      <c r="S183" s="271"/>
      <c r="T183" s="284"/>
      <c r="U183" s="285"/>
      <c r="V183" s="67"/>
      <c r="W183" s="68"/>
      <c r="X183" s="68"/>
      <c r="Y183" s="68"/>
    </row>
    <row r="184" spans="1:25" s="59" customFormat="1" ht="15.75" customHeight="1">
      <c r="A184" s="60">
        <v>9</v>
      </c>
      <c r="B184" s="119">
        <v>9</v>
      </c>
      <c r="C184" s="122" t="s">
        <v>510</v>
      </c>
      <c r="D184" s="122" t="s">
        <v>92</v>
      </c>
      <c r="E184" s="270"/>
      <c r="F184" s="271"/>
      <c r="G184" s="270"/>
      <c r="H184" s="271"/>
      <c r="I184" s="270"/>
      <c r="J184" s="271"/>
      <c r="K184" s="284"/>
      <c r="L184" s="285"/>
      <c r="M184" s="67"/>
      <c r="N184" s="270"/>
      <c r="O184" s="271"/>
      <c r="P184" s="270"/>
      <c r="Q184" s="271"/>
      <c r="R184" s="270"/>
      <c r="S184" s="271"/>
      <c r="T184" s="284"/>
      <c r="U184" s="285"/>
      <c r="V184" s="67"/>
      <c r="W184" s="68"/>
      <c r="X184" s="68"/>
      <c r="Y184" s="68"/>
    </row>
    <row r="185" spans="1:25" s="59" customFormat="1" ht="15.75" customHeight="1">
      <c r="A185" s="60">
        <v>10</v>
      </c>
      <c r="B185" s="119">
        <v>10</v>
      </c>
      <c r="C185" s="122" t="s">
        <v>511</v>
      </c>
      <c r="D185" s="122" t="s">
        <v>92</v>
      </c>
      <c r="E185" s="270"/>
      <c r="F185" s="271"/>
      <c r="G185" s="270"/>
      <c r="H185" s="271"/>
      <c r="I185" s="270"/>
      <c r="J185" s="271"/>
      <c r="K185" s="284"/>
      <c r="L185" s="285"/>
      <c r="M185" s="67"/>
      <c r="N185" s="270"/>
      <c r="O185" s="271"/>
      <c r="P185" s="270"/>
      <c r="Q185" s="271"/>
      <c r="R185" s="270"/>
      <c r="S185" s="271"/>
      <c r="T185" s="284"/>
      <c r="U185" s="285"/>
      <c r="V185" s="67"/>
      <c r="W185" s="68"/>
      <c r="X185" s="68"/>
      <c r="Y185" s="68"/>
    </row>
    <row r="186" spans="1:25" s="59" customFormat="1" ht="15.75" customHeight="1">
      <c r="A186" s="60">
        <v>11</v>
      </c>
      <c r="B186" s="119">
        <v>11</v>
      </c>
      <c r="C186" s="122" t="s">
        <v>512</v>
      </c>
      <c r="D186" s="122" t="s">
        <v>725</v>
      </c>
      <c r="E186" s="270"/>
      <c r="F186" s="271"/>
      <c r="G186" s="270"/>
      <c r="H186" s="271"/>
      <c r="I186" s="270"/>
      <c r="J186" s="271"/>
      <c r="K186" s="284"/>
      <c r="L186" s="285"/>
      <c r="M186" s="67"/>
      <c r="N186" s="270"/>
      <c r="O186" s="271"/>
      <c r="P186" s="270"/>
      <c r="Q186" s="271"/>
      <c r="R186" s="270"/>
      <c r="S186" s="271"/>
      <c r="T186" s="284"/>
      <c r="U186" s="285"/>
      <c r="V186" s="67"/>
      <c r="W186" s="68"/>
      <c r="X186" s="68"/>
      <c r="Y186" s="68"/>
    </row>
    <row r="187" spans="1:25" s="59" customFormat="1" ht="15.75" customHeight="1">
      <c r="A187" s="60"/>
      <c r="B187" s="122"/>
      <c r="C187" s="122"/>
      <c r="D187" s="122"/>
      <c r="E187" s="366"/>
      <c r="F187" s="367"/>
      <c r="G187" s="366"/>
      <c r="H187" s="367"/>
      <c r="I187" s="366"/>
      <c r="J187" s="367"/>
      <c r="K187" s="368"/>
      <c r="L187" s="369"/>
      <c r="M187" s="67"/>
      <c r="N187" s="366"/>
      <c r="O187" s="367"/>
      <c r="P187" s="366"/>
      <c r="Q187" s="367"/>
      <c r="R187" s="366"/>
      <c r="S187" s="367"/>
      <c r="T187" s="368"/>
      <c r="U187" s="369"/>
      <c r="V187" s="67"/>
      <c r="W187" s="68"/>
      <c r="X187" s="68"/>
      <c r="Y187" s="68"/>
    </row>
    <row r="188" spans="1:25" s="59" customFormat="1" ht="15.75" customHeight="1">
      <c r="A188" s="60"/>
      <c r="B188" s="122"/>
      <c r="C188" s="122"/>
      <c r="D188" s="122"/>
      <c r="E188" s="366"/>
      <c r="F188" s="367"/>
      <c r="G188" s="366"/>
      <c r="H188" s="367"/>
      <c r="I188" s="366"/>
      <c r="J188" s="367"/>
      <c r="K188" s="368"/>
      <c r="L188" s="369"/>
      <c r="M188" s="67"/>
      <c r="N188" s="366"/>
      <c r="O188" s="367"/>
      <c r="P188" s="366"/>
      <c r="Q188" s="367"/>
      <c r="R188" s="366"/>
      <c r="S188" s="367"/>
      <c r="T188" s="368"/>
      <c r="U188" s="369"/>
      <c r="V188" s="67"/>
      <c r="W188" s="68"/>
      <c r="X188" s="68"/>
      <c r="Y188" s="68"/>
    </row>
    <row r="189" spans="1:25" s="59" customFormat="1" ht="15.75" customHeight="1">
      <c r="A189" s="60"/>
      <c r="B189" s="119"/>
      <c r="C189" s="119"/>
      <c r="D189" s="119"/>
      <c r="E189" s="366"/>
      <c r="F189" s="367"/>
      <c r="G189" s="366"/>
      <c r="H189" s="367"/>
      <c r="I189" s="366"/>
      <c r="J189" s="367"/>
      <c r="K189" s="368"/>
      <c r="L189" s="369"/>
      <c r="M189" s="67"/>
      <c r="N189" s="366"/>
      <c r="O189" s="367"/>
      <c r="P189" s="366"/>
      <c r="Q189" s="367"/>
      <c r="R189" s="366"/>
      <c r="S189" s="367"/>
      <c r="T189" s="368"/>
      <c r="U189" s="369"/>
      <c r="V189" s="67"/>
      <c r="W189" s="68"/>
      <c r="X189" s="68"/>
      <c r="Y189" s="68"/>
    </row>
    <row r="190" spans="1:25" s="59" customFormat="1" ht="15.75" customHeight="1">
      <c r="A190" s="60"/>
      <c r="B190" s="119"/>
      <c r="C190" s="119"/>
      <c r="D190" s="119"/>
      <c r="E190" s="366"/>
      <c r="F190" s="367"/>
      <c r="G190" s="366"/>
      <c r="H190" s="367"/>
      <c r="I190" s="366"/>
      <c r="J190" s="367"/>
      <c r="K190" s="368"/>
      <c r="L190" s="369"/>
      <c r="M190" s="67"/>
      <c r="N190" s="366"/>
      <c r="O190" s="367"/>
      <c r="P190" s="366"/>
      <c r="Q190" s="367"/>
      <c r="R190" s="366"/>
      <c r="S190" s="367"/>
      <c r="T190" s="368"/>
      <c r="U190" s="369"/>
      <c r="V190" s="67"/>
      <c r="W190" s="68"/>
      <c r="X190" s="68"/>
      <c r="Y190" s="68"/>
    </row>
    <row r="191" spans="1:25" s="59" customFormat="1" ht="15.75" customHeight="1">
      <c r="A191" s="60"/>
      <c r="B191" s="65"/>
      <c r="C191" s="66"/>
      <c r="D191" s="66"/>
      <c r="E191" s="366"/>
      <c r="F191" s="367"/>
      <c r="G191" s="366"/>
      <c r="H191" s="367"/>
      <c r="I191" s="366"/>
      <c r="J191" s="367"/>
      <c r="K191" s="368"/>
      <c r="L191" s="369"/>
      <c r="M191" s="67"/>
      <c r="N191" s="366"/>
      <c r="O191" s="367"/>
      <c r="P191" s="366"/>
      <c r="Q191" s="367"/>
      <c r="R191" s="366"/>
      <c r="S191" s="367"/>
      <c r="T191" s="368"/>
      <c r="U191" s="369"/>
      <c r="V191" s="67"/>
      <c r="W191" s="68"/>
      <c r="X191" s="68"/>
      <c r="Y191" s="68"/>
    </row>
    <row r="192" spans="1:4" s="59" customFormat="1" ht="12.75">
      <c r="A192" s="69"/>
      <c r="C192" s="70"/>
      <c r="D192" s="70"/>
    </row>
    <row r="193" spans="1:25" s="59" customFormat="1" ht="12.75">
      <c r="A193" s="394" t="s">
        <v>172</v>
      </c>
      <c r="B193" s="395"/>
      <c r="C193" s="395"/>
      <c r="D193" s="395"/>
      <c r="E193" s="395"/>
      <c r="F193" s="395"/>
      <c r="G193" s="341" t="s">
        <v>172</v>
      </c>
      <c r="H193" s="396"/>
      <c r="I193" s="396"/>
      <c r="J193" s="396"/>
      <c r="K193" s="396"/>
      <c r="L193" s="396"/>
      <c r="M193" s="396"/>
      <c r="N193" s="396"/>
      <c r="O193" s="396"/>
      <c r="P193" s="396"/>
      <c r="Q193" s="396"/>
      <c r="R193" s="397"/>
      <c r="S193" s="354" t="s">
        <v>173</v>
      </c>
      <c r="T193" s="360"/>
      <c r="U193" s="360"/>
      <c r="V193" s="360"/>
      <c r="W193" s="360"/>
      <c r="X193" s="360"/>
      <c r="Y193" s="361"/>
    </row>
    <row r="194" spans="1:25" s="59" customFormat="1" ht="12.75">
      <c r="A194" s="60" t="s">
        <v>0</v>
      </c>
      <c r="B194" s="60" t="s">
        <v>174</v>
      </c>
      <c r="C194" s="60" t="s">
        <v>156</v>
      </c>
      <c r="D194" s="60" t="s">
        <v>157</v>
      </c>
      <c r="E194" s="353" t="s">
        <v>175</v>
      </c>
      <c r="F194" s="353"/>
      <c r="G194" s="63" t="s">
        <v>0</v>
      </c>
      <c r="H194" s="64" t="s">
        <v>174</v>
      </c>
      <c r="I194" s="354" t="s">
        <v>156</v>
      </c>
      <c r="J194" s="360"/>
      <c r="K194" s="360"/>
      <c r="L194" s="361"/>
      <c r="M194" s="391" t="s">
        <v>157</v>
      </c>
      <c r="N194" s="392"/>
      <c r="O194" s="392"/>
      <c r="P194" s="393"/>
      <c r="Q194" s="354" t="s">
        <v>175</v>
      </c>
      <c r="R194" s="361"/>
      <c r="S194" s="72"/>
      <c r="T194" s="73"/>
      <c r="U194" s="73"/>
      <c r="V194" s="57"/>
      <c r="W194" s="57"/>
      <c r="X194" s="57"/>
      <c r="Y194" s="58"/>
    </row>
    <row r="195" spans="1:25" s="59" customFormat="1" ht="15.75" customHeight="1">
      <c r="A195" s="60">
        <v>1</v>
      </c>
      <c r="B195" s="71"/>
      <c r="C195" s="74"/>
      <c r="D195" s="74"/>
      <c r="E195" s="384"/>
      <c r="F195" s="385"/>
      <c r="G195" s="247">
        <v>9</v>
      </c>
      <c r="H195" s="71"/>
      <c r="I195" s="386"/>
      <c r="J195" s="387"/>
      <c r="K195" s="387"/>
      <c r="L195" s="388"/>
      <c r="M195" s="386"/>
      <c r="N195" s="387"/>
      <c r="O195" s="387"/>
      <c r="P195" s="388"/>
      <c r="Q195" s="384"/>
      <c r="R195" s="385"/>
      <c r="S195" s="76"/>
      <c r="T195" s="77"/>
      <c r="U195" s="77"/>
      <c r="V195" s="78"/>
      <c r="W195" s="78"/>
      <c r="X195" s="78"/>
      <c r="Y195" s="79"/>
    </row>
    <row r="196" spans="1:25" s="59" customFormat="1" ht="15.75" customHeight="1">
      <c r="A196" s="60">
        <v>2</v>
      </c>
      <c r="B196" s="71"/>
      <c r="C196" s="74"/>
      <c r="D196" s="74"/>
      <c r="E196" s="384"/>
      <c r="F196" s="385"/>
      <c r="G196" s="247">
        <v>10</v>
      </c>
      <c r="H196" s="71"/>
      <c r="I196" s="386"/>
      <c r="J196" s="387"/>
      <c r="K196" s="387"/>
      <c r="L196" s="388"/>
      <c r="M196" s="386"/>
      <c r="N196" s="387"/>
      <c r="O196" s="387"/>
      <c r="P196" s="388"/>
      <c r="Q196" s="389"/>
      <c r="R196" s="390"/>
      <c r="S196" s="72"/>
      <c r="T196" s="73"/>
      <c r="U196" s="73"/>
      <c r="V196" s="57"/>
      <c r="W196" s="57"/>
      <c r="X196" s="57"/>
      <c r="Y196" s="58"/>
    </row>
    <row r="197" spans="1:25" s="59" customFormat="1" ht="15.75" customHeight="1">
      <c r="A197" s="60">
        <v>3</v>
      </c>
      <c r="B197" s="71"/>
      <c r="C197" s="74"/>
      <c r="D197" s="74"/>
      <c r="E197" s="384"/>
      <c r="F197" s="385"/>
      <c r="G197" s="247">
        <v>11</v>
      </c>
      <c r="H197" s="71"/>
      <c r="I197" s="386"/>
      <c r="J197" s="387"/>
      <c r="K197" s="387"/>
      <c r="L197" s="388"/>
      <c r="M197" s="386"/>
      <c r="N197" s="387"/>
      <c r="O197" s="387"/>
      <c r="P197" s="388"/>
      <c r="Q197" s="389"/>
      <c r="R197" s="390"/>
      <c r="S197" s="76"/>
      <c r="T197" s="77"/>
      <c r="U197" s="77"/>
      <c r="V197" s="78"/>
      <c r="W197" s="78"/>
      <c r="X197" s="78"/>
      <c r="Y197" s="79"/>
    </row>
    <row r="198" spans="1:25" s="59" customFormat="1" ht="15.75" customHeight="1">
      <c r="A198" s="60">
        <v>4</v>
      </c>
      <c r="B198" s="71"/>
      <c r="C198" s="74"/>
      <c r="D198" s="74"/>
      <c r="E198" s="384"/>
      <c r="F198" s="385"/>
      <c r="G198" s="247">
        <v>12</v>
      </c>
      <c r="H198" s="71"/>
      <c r="I198" s="386"/>
      <c r="J198" s="387"/>
      <c r="K198" s="387"/>
      <c r="L198" s="388"/>
      <c r="M198" s="386"/>
      <c r="N198" s="387"/>
      <c r="O198" s="387"/>
      <c r="P198" s="388"/>
      <c r="Q198" s="389"/>
      <c r="R198" s="390"/>
      <c r="S198" s="72"/>
      <c r="T198" s="73"/>
      <c r="U198" s="73"/>
      <c r="V198" s="57"/>
      <c r="W198" s="57"/>
      <c r="X198" s="57"/>
      <c r="Y198" s="58"/>
    </row>
    <row r="199" spans="1:25" s="59" customFormat="1" ht="15.75" customHeight="1">
      <c r="A199" s="60">
        <v>5</v>
      </c>
      <c r="B199" s="71"/>
      <c r="C199" s="74"/>
      <c r="D199" s="74"/>
      <c r="E199" s="384"/>
      <c r="F199" s="385"/>
      <c r="G199" s="247">
        <v>13</v>
      </c>
      <c r="H199" s="71"/>
      <c r="I199" s="386"/>
      <c r="J199" s="387"/>
      <c r="K199" s="387"/>
      <c r="L199" s="388"/>
      <c r="M199" s="386"/>
      <c r="N199" s="387"/>
      <c r="O199" s="387"/>
      <c r="P199" s="388"/>
      <c r="Q199" s="389"/>
      <c r="R199" s="390"/>
      <c r="S199" s="76"/>
      <c r="T199" s="77"/>
      <c r="U199" s="77"/>
      <c r="V199" s="78"/>
      <c r="W199" s="78"/>
      <c r="X199" s="78"/>
      <c r="Y199" s="79"/>
    </row>
    <row r="200" spans="1:25" s="59" customFormat="1" ht="15.75" customHeight="1">
      <c r="A200" s="60">
        <v>6</v>
      </c>
      <c r="B200" s="71"/>
      <c r="C200" s="74"/>
      <c r="D200" s="74"/>
      <c r="E200" s="384"/>
      <c r="F200" s="385"/>
      <c r="G200" s="247">
        <v>14</v>
      </c>
      <c r="H200" s="71"/>
      <c r="I200" s="386"/>
      <c r="J200" s="387"/>
      <c r="K200" s="387"/>
      <c r="L200" s="388"/>
      <c r="M200" s="386"/>
      <c r="N200" s="387"/>
      <c r="O200" s="387"/>
      <c r="P200" s="388"/>
      <c r="Q200" s="389"/>
      <c r="R200" s="390"/>
      <c r="S200" s="354" t="s">
        <v>176</v>
      </c>
      <c r="T200" s="360"/>
      <c r="U200" s="360"/>
      <c r="V200" s="360"/>
      <c r="W200" s="360"/>
      <c r="X200" s="360"/>
      <c r="Y200" s="361"/>
    </row>
    <row r="201" spans="1:25" s="59" customFormat="1" ht="15.75" customHeight="1">
      <c r="A201" s="60">
        <v>7</v>
      </c>
      <c r="B201" s="71"/>
      <c r="C201" s="74"/>
      <c r="D201" s="74"/>
      <c r="E201" s="384"/>
      <c r="F201" s="385"/>
      <c r="G201" s="247">
        <v>15</v>
      </c>
      <c r="H201" s="71"/>
      <c r="I201" s="386"/>
      <c r="J201" s="387"/>
      <c r="K201" s="387"/>
      <c r="L201" s="388"/>
      <c r="M201" s="386"/>
      <c r="N201" s="387"/>
      <c r="O201" s="387"/>
      <c r="P201" s="388"/>
      <c r="Q201" s="389"/>
      <c r="R201" s="390"/>
      <c r="S201" s="72"/>
      <c r="T201" s="73"/>
      <c r="U201" s="73"/>
      <c r="V201" s="57"/>
      <c r="W201" s="57"/>
      <c r="X201" s="57"/>
      <c r="Y201" s="58"/>
    </row>
    <row r="202" spans="1:25" s="59" customFormat="1" ht="15.75" customHeight="1">
      <c r="A202" s="60">
        <v>8</v>
      </c>
      <c r="B202" s="71"/>
      <c r="C202" s="74"/>
      <c r="D202" s="74"/>
      <c r="E202" s="384"/>
      <c r="F202" s="385"/>
      <c r="G202" s="247">
        <v>16</v>
      </c>
      <c r="H202" s="71"/>
      <c r="I202" s="386"/>
      <c r="J202" s="387"/>
      <c r="K202" s="387"/>
      <c r="L202" s="388"/>
      <c r="M202" s="386"/>
      <c r="N202" s="387"/>
      <c r="O202" s="387"/>
      <c r="P202" s="388"/>
      <c r="Q202" s="389"/>
      <c r="R202" s="390"/>
      <c r="S202" s="76"/>
      <c r="T202" s="77"/>
      <c r="U202" s="77"/>
      <c r="V202" s="78"/>
      <c r="W202" s="78"/>
      <c r="X202" s="78"/>
      <c r="Y202" s="79"/>
    </row>
    <row r="205" spans="1:25" s="59" customFormat="1" ht="20.25">
      <c r="A205" s="336" t="s">
        <v>147</v>
      </c>
      <c r="B205" s="337"/>
      <c r="C205" s="337"/>
      <c r="D205" s="337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8"/>
    </row>
    <row r="206" spans="1:25" s="59" customFormat="1" ht="15.75" customHeight="1">
      <c r="A206" s="339" t="s">
        <v>148</v>
      </c>
      <c r="B206" s="340"/>
      <c r="C206" s="341" t="s">
        <v>177</v>
      </c>
      <c r="D206" s="342"/>
      <c r="E206" s="339" t="s">
        <v>149</v>
      </c>
      <c r="F206" s="343"/>
      <c r="G206" s="340"/>
      <c r="H206" s="341" t="s">
        <v>360</v>
      </c>
      <c r="I206" s="344"/>
      <c r="J206" s="345"/>
      <c r="K206" s="345"/>
      <c r="L206" s="346"/>
      <c r="M206" s="347" t="s">
        <v>150</v>
      </c>
      <c r="N206" s="348"/>
      <c r="O206" s="349"/>
      <c r="P206" s="350" t="s">
        <v>368</v>
      </c>
      <c r="Q206" s="351"/>
      <c r="R206" s="351"/>
      <c r="S206" s="351"/>
      <c r="T206" s="351"/>
      <c r="U206" s="351"/>
      <c r="V206" s="351"/>
      <c r="W206" s="351"/>
      <c r="X206" s="351"/>
      <c r="Y206" s="352"/>
    </row>
    <row r="207" spans="1:25" s="59" customFormat="1" ht="15.75" customHeight="1">
      <c r="A207" s="339" t="s">
        <v>179</v>
      </c>
      <c r="B207" s="340"/>
      <c r="C207" s="377" t="s">
        <v>192</v>
      </c>
      <c r="D207" s="378"/>
      <c r="E207" s="339" t="s">
        <v>151</v>
      </c>
      <c r="F207" s="343"/>
      <c r="G207" s="340"/>
      <c r="H207" s="379" t="s">
        <v>206</v>
      </c>
      <c r="I207" s="380"/>
      <c r="J207" s="339" t="s">
        <v>152</v>
      </c>
      <c r="K207" s="343"/>
      <c r="L207" s="340"/>
      <c r="M207" s="381"/>
      <c r="N207" s="375"/>
      <c r="O207" s="376"/>
      <c r="P207" s="373" t="s">
        <v>153</v>
      </c>
      <c r="Q207" s="374"/>
      <c r="R207" s="375"/>
      <c r="S207" s="375"/>
      <c r="T207" s="375" t="e">
        <f>VLOOKUP(I205,eventslist,4,FALSE)</f>
        <v>#NAME?</v>
      </c>
      <c r="U207" s="375"/>
      <c r="V207" s="375" t="e">
        <f>VLOOKUP(K205,eventslist,4,FALSE)</f>
        <v>#NAME?</v>
      </c>
      <c r="W207" s="375"/>
      <c r="X207" s="375" t="e">
        <f>VLOOKUP(M205,eventslist,4,FALSE)</f>
        <v>#NAME?</v>
      </c>
      <c r="Y207" s="376"/>
    </row>
    <row r="208" spans="1:25" s="59" customFormat="1" ht="31.5" customHeight="1">
      <c r="A208" s="60" t="s">
        <v>154</v>
      </c>
      <c r="B208" s="60" t="s">
        <v>155</v>
      </c>
      <c r="C208" s="61" t="s">
        <v>156</v>
      </c>
      <c r="D208" s="62" t="s">
        <v>157</v>
      </c>
      <c r="E208" s="362" t="s">
        <v>158</v>
      </c>
      <c r="F208" s="357"/>
      <c r="G208" s="357" t="s">
        <v>159</v>
      </c>
      <c r="H208" s="357"/>
      <c r="I208" s="357" t="s">
        <v>160</v>
      </c>
      <c r="J208" s="357"/>
      <c r="K208" s="357" t="s">
        <v>161</v>
      </c>
      <c r="L208" s="357"/>
      <c r="M208" s="355" t="s">
        <v>162</v>
      </c>
      <c r="N208" s="357" t="s">
        <v>163</v>
      </c>
      <c r="O208" s="357"/>
      <c r="P208" s="357" t="s">
        <v>164</v>
      </c>
      <c r="Q208" s="357"/>
      <c r="R208" s="357" t="s">
        <v>165</v>
      </c>
      <c r="S208" s="357"/>
      <c r="T208" s="357" t="s">
        <v>166</v>
      </c>
      <c r="U208" s="358"/>
      <c r="V208" s="359" t="s">
        <v>167</v>
      </c>
      <c r="W208" s="354" t="s">
        <v>168</v>
      </c>
      <c r="X208" s="360"/>
      <c r="Y208" s="361"/>
    </row>
    <row r="209" spans="1:25" s="59" customFormat="1" ht="12.75">
      <c r="A209" s="63"/>
      <c r="B209" s="63"/>
      <c r="C209" s="120" t="s">
        <v>384</v>
      </c>
      <c r="D209" s="370" t="s">
        <v>422</v>
      </c>
      <c r="E209" s="371"/>
      <c r="F209" s="372"/>
      <c r="G209" s="353" t="s">
        <v>169</v>
      </c>
      <c r="H209" s="353"/>
      <c r="I209" s="353" t="s">
        <v>169</v>
      </c>
      <c r="J209" s="353"/>
      <c r="K209" s="353" t="s">
        <v>169</v>
      </c>
      <c r="L209" s="353"/>
      <c r="M209" s="356"/>
      <c r="N209" s="353" t="s">
        <v>169</v>
      </c>
      <c r="O209" s="353"/>
      <c r="P209" s="353" t="s">
        <v>169</v>
      </c>
      <c r="Q209" s="353"/>
      <c r="R209" s="353" t="s">
        <v>169</v>
      </c>
      <c r="S209" s="353"/>
      <c r="T209" s="353" t="s">
        <v>169</v>
      </c>
      <c r="U209" s="354"/>
      <c r="V209" s="355"/>
      <c r="W209" s="60"/>
      <c r="X209" s="60" t="s">
        <v>170</v>
      </c>
      <c r="Y209" s="60" t="s">
        <v>171</v>
      </c>
    </row>
    <row r="210" spans="1:25" s="59" customFormat="1" ht="15.75" customHeight="1">
      <c r="A210" s="63">
        <v>1</v>
      </c>
      <c r="B210" s="119">
        <v>1</v>
      </c>
      <c r="C210" s="122" t="s">
        <v>553</v>
      </c>
      <c r="D210" s="122" t="s">
        <v>20</v>
      </c>
      <c r="E210" s="366"/>
      <c r="F210" s="367"/>
      <c r="G210" s="366"/>
      <c r="H210" s="367"/>
      <c r="I210" s="366"/>
      <c r="J210" s="367"/>
      <c r="K210" s="368"/>
      <c r="L210" s="369"/>
      <c r="M210" s="67"/>
      <c r="N210" s="366"/>
      <c r="O210" s="367"/>
      <c r="P210" s="366"/>
      <c r="Q210" s="367"/>
      <c r="R210" s="366"/>
      <c r="S210" s="367"/>
      <c r="T210" s="368"/>
      <c r="U210" s="369"/>
      <c r="V210" s="67"/>
      <c r="W210" s="68"/>
      <c r="X210" s="68"/>
      <c r="Y210" s="68"/>
    </row>
    <row r="211" spans="1:25" s="59" customFormat="1" ht="15.75" customHeight="1">
      <c r="A211" s="60">
        <v>2</v>
      </c>
      <c r="B211" s="119">
        <v>2</v>
      </c>
      <c r="C211" s="122" t="s">
        <v>554</v>
      </c>
      <c r="D211" s="122" t="s">
        <v>20</v>
      </c>
      <c r="E211" s="366"/>
      <c r="F211" s="367"/>
      <c r="G211" s="366"/>
      <c r="H211" s="367"/>
      <c r="I211" s="366"/>
      <c r="J211" s="367"/>
      <c r="K211" s="368"/>
      <c r="L211" s="369"/>
      <c r="M211" s="67"/>
      <c r="N211" s="366"/>
      <c r="O211" s="367"/>
      <c r="P211" s="366"/>
      <c r="Q211" s="367"/>
      <c r="R211" s="366"/>
      <c r="S211" s="367"/>
      <c r="T211" s="368"/>
      <c r="U211" s="369"/>
      <c r="V211" s="67"/>
      <c r="W211" s="68"/>
      <c r="X211" s="68"/>
      <c r="Y211" s="68"/>
    </row>
    <row r="212" spans="1:25" s="59" customFormat="1" ht="15.75" customHeight="1">
      <c r="A212" s="60">
        <v>3</v>
      </c>
      <c r="B212" s="119">
        <v>3</v>
      </c>
      <c r="C212" s="122" t="s">
        <v>555</v>
      </c>
      <c r="D212" s="122" t="s">
        <v>16</v>
      </c>
      <c r="E212" s="366"/>
      <c r="F212" s="367"/>
      <c r="G212" s="366"/>
      <c r="H212" s="367"/>
      <c r="I212" s="366"/>
      <c r="J212" s="367"/>
      <c r="K212" s="368"/>
      <c r="L212" s="369"/>
      <c r="M212" s="67"/>
      <c r="N212" s="366"/>
      <c r="O212" s="367"/>
      <c r="P212" s="366"/>
      <c r="Q212" s="367"/>
      <c r="R212" s="366"/>
      <c r="S212" s="367"/>
      <c r="T212" s="368"/>
      <c r="U212" s="369"/>
      <c r="V212" s="67"/>
      <c r="W212" s="68"/>
      <c r="X212" s="68"/>
      <c r="Y212" s="68"/>
    </row>
    <row r="213" spans="1:25" s="59" customFormat="1" ht="15.75" customHeight="1">
      <c r="A213" s="60">
        <v>4</v>
      </c>
      <c r="B213" s="119">
        <v>4</v>
      </c>
      <c r="C213" s="122" t="s">
        <v>556</v>
      </c>
      <c r="D213" s="122" t="s">
        <v>16</v>
      </c>
      <c r="E213" s="366"/>
      <c r="F213" s="367"/>
      <c r="G213" s="366"/>
      <c r="H213" s="367"/>
      <c r="I213" s="366"/>
      <c r="J213" s="367"/>
      <c r="K213" s="368"/>
      <c r="L213" s="369"/>
      <c r="M213" s="67"/>
      <c r="N213" s="366"/>
      <c r="O213" s="367"/>
      <c r="P213" s="366"/>
      <c r="Q213" s="367"/>
      <c r="R213" s="366"/>
      <c r="S213" s="367"/>
      <c r="T213" s="368"/>
      <c r="U213" s="369"/>
      <c r="V213" s="67"/>
      <c r="W213" s="68"/>
      <c r="X213" s="68"/>
      <c r="Y213" s="68"/>
    </row>
    <row r="214" spans="1:25" s="59" customFormat="1" ht="15.75" customHeight="1">
      <c r="A214" s="60">
        <v>5</v>
      </c>
      <c r="B214" s="119">
        <v>7</v>
      </c>
      <c r="C214" s="122" t="s">
        <v>559</v>
      </c>
      <c r="D214" s="122" t="s">
        <v>22</v>
      </c>
      <c r="E214" s="366"/>
      <c r="F214" s="367"/>
      <c r="G214" s="366"/>
      <c r="H214" s="367"/>
      <c r="I214" s="366"/>
      <c r="J214" s="367"/>
      <c r="K214" s="368"/>
      <c r="L214" s="369"/>
      <c r="M214" s="67"/>
      <c r="N214" s="366"/>
      <c r="O214" s="367"/>
      <c r="P214" s="366"/>
      <c r="Q214" s="367"/>
      <c r="R214" s="366"/>
      <c r="S214" s="367"/>
      <c r="T214" s="368"/>
      <c r="U214" s="369"/>
      <c r="V214" s="67"/>
      <c r="W214" s="68"/>
      <c r="X214" s="68"/>
      <c r="Y214" s="68"/>
    </row>
    <row r="215" spans="1:25" s="59" customFormat="1" ht="15.75" customHeight="1">
      <c r="A215" s="60">
        <v>6</v>
      </c>
      <c r="B215" s="119">
        <v>9</v>
      </c>
      <c r="C215" s="122" t="s">
        <v>560</v>
      </c>
      <c r="D215" s="122" t="s">
        <v>92</v>
      </c>
      <c r="E215" s="366"/>
      <c r="F215" s="367"/>
      <c r="G215" s="366"/>
      <c r="H215" s="367"/>
      <c r="I215" s="366"/>
      <c r="J215" s="367"/>
      <c r="K215" s="368"/>
      <c r="L215" s="369"/>
      <c r="M215" s="67"/>
      <c r="N215" s="366"/>
      <c r="O215" s="367"/>
      <c r="P215" s="366"/>
      <c r="Q215" s="367"/>
      <c r="R215" s="366"/>
      <c r="S215" s="367"/>
      <c r="T215" s="368"/>
      <c r="U215" s="369"/>
      <c r="V215" s="67"/>
      <c r="W215" s="68"/>
      <c r="X215" s="68"/>
      <c r="Y215" s="68"/>
    </row>
    <row r="216" spans="1:25" s="59" customFormat="1" ht="15.75" customHeight="1">
      <c r="A216" s="60">
        <v>7</v>
      </c>
      <c r="B216" s="119">
        <v>10</v>
      </c>
      <c r="C216" s="122" t="s">
        <v>561</v>
      </c>
      <c r="D216" s="122" t="s">
        <v>92</v>
      </c>
      <c r="E216" s="366"/>
      <c r="F216" s="367"/>
      <c r="G216" s="366"/>
      <c r="H216" s="367"/>
      <c r="I216" s="366"/>
      <c r="J216" s="367"/>
      <c r="K216" s="368"/>
      <c r="L216" s="369"/>
      <c r="M216" s="67"/>
      <c r="N216" s="366"/>
      <c r="O216" s="367"/>
      <c r="P216" s="366"/>
      <c r="Q216" s="367"/>
      <c r="R216" s="366"/>
      <c r="S216" s="367"/>
      <c r="T216" s="368"/>
      <c r="U216" s="369"/>
      <c r="V216" s="67"/>
      <c r="W216" s="68"/>
      <c r="X216" s="68"/>
      <c r="Y216" s="68"/>
    </row>
    <row r="217" spans="1:25" s="59" customFormat="1" ht="15.75" customHeight="1">
      <c r="A217" s="60">
        <v>8</v>
      </c>
      <c r="B217" s="119">
        <v>11</v>
      </c>
      <c r="C217" s="122" t="s">
        <v>562</v>
      </c>
      <c r="D217" s="122" t="s">
        <v>19</v>
      </c>
      <c r="E217" s="366"/>
      <c r="F217" s="367"/>
      <c r="G217" s="366"/>
      <c r="H217" s="367"/>
      <c r="I217" s="366"/>
      <c r="J217" s="367"/>
      <c r="K217" s="368"/>
      <c r="L217" s="369"/>
      <c r="M217" s="67"/>
      <c r="N217" s="366"/>
      <c r="O217" s="367"/>
      <c r="P217" s="366"/>
      <c r="Q217" s="367"/>
      <c r="R217" s="366"/>
      <c r="S217" s="367"/>
      <c r="T217" s="368"/>
      <c r="U217" s="369"/>
      <c r="V217" s="67"/>
      <c r="W217" s="68"/>
      <c r="X217" s="68"/>
      <c r="Y217" s="68"/>
    </row>
    <row r="218" spans="1:25" s="59" customFormat="1" ht="15.75" customHeight="1">
      <c r="A218" s="60">
        <v>9</v>
      </c>
      <c r="B218" s="119">
        <v>12</v>
      </c>
      <c r="C218" s="122" t="s">
        <v>563</v>
      </c>
      <c r="D218" s="122" t="s">
        <v>19</v>
      </c>
      <c r="E218" s="366"/>
      <c r="F218" s="367"/>
      <c r="G218" s="366"/>
      <c r="H218" s="367"/>
      <c r="I218" s="366"/>
      <c r="J218" s="367"/>
      <c r="K218" s="368"/>
      <c r="L218" s="369"/>
      <c r="M218" s="67"/>
      <c r="N218" s="366"/>
      <c r="O218" s="367"/>
      <c r="P218" s="366"/>
      <c r="Q218" s="367"/>
      <c r="R218" s="366"/>
      <c r="S218" s="367"/>
      <c r="T218" s="368"/>
      <c r="U218" s="369"/>
      <c r="V218" s="67"/>
      <c r="W218" s="68"/>
      <c r="X218" s="68"/>
      <c r="Y218" s="68"/>
    </row>
    <row r="219" spans="1:25" s="59" customFormat="1" ht="15.75" customHeight="1">
      <c r="A219" s="60">
        <v>10</v>
      </c>
      <c r="B219" s="119">
        <v>5</v>
      </c>
      <c r="C219" s="122" t="s">
        <v>557</v>
      </c>
      <c r="D219" s="122" t="s">
        <v>18</v>
      </c>
      <c r="E219" s="366"/>
      <c r="F219" s="367"/>
      <c r="G219" s="366"/>
      <c r="H219" s="367"/>
      <c r="I219" s="366"/>
      <c r="J219" s="367"/>
      <c r="K219" s="368"/>
      <c r="L219" s="369"/>
      <c r="M219" s="67"/>
      <c r="N219" s="366"/>
      <c r="O219" s="367"/>
      <c r="P219" s="366"/>
      <c r="Q219" s="367"/>
      <c r="R219" s="366"/>
      <c r="S219" s="367"/>
      <c r="T219" s="368"/>
      <c r="U219" s="369"/>
      <c r="V219" s="67"/>
      <c r="W219" s="68"/>
      <c r="X219" s="68"/>
      <c r="Y219" s="68"/>
    </row>
    <row r="220" spans="1:25" s="59" customFormat="1" ht="15.75" customHeight="1">
      <c r="A220" s="60">
        <v>11</v>
      </c>
      <c r="B220" s="119">
        <v>6</v>
      </c>
      <c r="C220" s="122" t="s">
        <v>558</v>
      </c>
      <c r="D220" s="122" t="s">
        <v>18</v>
      </c>
      <c r="E220" s="366"/>
      <c r="F220" s="367"/>
      <c r="G220" s="366"/>
      <c r="H220" s="367"/>
      <c r="I220" s="366"/>
      <c r="J220" s="367"/>
      <c r="K220" s="368"/>
      <c r="L220" s="369"/>
      <c r="M220" s="67"/>
      <c r="N220" s="366"/>
      <c r="O220" s="367"/>
      <c r="P220" s="366"/>
      <c r="Q220" s="367"/>
      <c r="R220" s="366"/>
      <c r="S220" s="367"/>
      <c r="T220" s="368"/>
      <c r="U220" s="369"/>
      <c r="V220" s="67"/>
      <c r="W220" s="68"/>
      <c r="X220" s="68"/>
      <c r="Y220" s="68"/>
    </row>
    <row r="221" spans="1:25" s="59" customFormat="1" ht="15.75" customHeight="1">
      <c r="A221" s="60"/>
      <c r="B221" s="119"/>
      <c r="C221" s="122"/>
      <c r="D221" s="122"/>
      <c r="E221" s="366"/>
      <c r="F221" s="367"/>
      <c r="G221" s="366"/>
      <c r="H221" s="367"/>
      <c r="I221" s="366"/>
      <c r="J221" s="367"/>
      <c r="K221" s="368"/>
      <c r="L221" s="369"/>
      <c r="M221" s="67"/>
      <c r="N221" s="366"/>
      <c r="O221" s="367"/>
      <c r="P221" s="366"/>
      <c r="Q221" s="367"/>
      <c r="R221" s="366"/>
      <c r="S221" s="367"/>
      <c r="T221" s="368"/>
      <c r="U221" s="369"/>
      <c r="V221" s="67"/>
      <c r="W221" s="68"/>
      <c r="X221" s="68"/>
      <c r="Y221" s="68"/>
    </row>
    <row r="222" spans="1:25" s="59" customFormat="1" ht="15.75" customHeight="1">
      <c r="A222" s="60"/>
      <c r="B222" s="119"/>
      <c r="C222" s="119"/>
      <c r="D222" s="119"/>
      <c r="E222" s="366"/>
      <c r="F222" s="367"/>
      <c r="G222" s="366"/>
      <c r="H222" s="367"/>
      <c r="I222" s="366"/>
      <c r="J222" s="367"/>
      <c r="K222" s="368"/>
      <c r="L222" s="369"/>
      <c r="M222" s="67"/>
      <c r="N222" s="366"/>
      <c r="O222" s="367"/>
      <c r="P222" s="366"/>
      <c r="Q222" s="367"/>
      <c r="R222" s="366"/>
      <c r="S222" s="367"/>
      <c r="T222" s="368"/>
      <c r="U222" s="369"/>
      <c r="V222" s="67"/>
      <c r="W222" s="68"/>
      <c r="X222" s="68"/>
      <c r="Y222" s="68"/>
    </row>
    <row r="223" spans="1:25" s="59" customFormat="1" ht="15.75" customHeight="1">
      <c r="A223" s="60"/>
      <c r="B223" s="119"/>
      <c r="C223" s="119"/>
      <c r="D223" s="119"/>
      <c r="E223" s="366"/>
      <c r="F223" s="367"/>
      <c r="G223" s="366"/>
      <c r="H223" s="367"/>
      <c r="I223" s="366"/>
      <c r="J223" s="367"/>
      <c r="K223" s="368"/>
      <c r="L223" s="369"/>
      <c r="M223" s="67"/>
      <c r="N223" s="366"/>
      <c r="O223" s="367"/>
      <c r="P223" s="366"/>
      <c r="Q223" s="367"/>
      <c r="R223" s="366"/>
      <c r="S223" s="367"/>
      <c r="T223" s="368"/>
      <c r="U223" s="369"/>
      <c r="V223" s="67"/>
      <c r="W223" s="68"/>
      <c r="X223" s="68"/>
      <c r="Y223" s="68"/>
    </row>
    <row r="224" spans="1:25" s="59" customFormat="1" ht="15.75" customHeight="1">
      <c r="A224" s="60"/>
      <c r="B224" s="119"/>
      <c r="C224" s="119"/>
      <c r="D224" s="119"/>
      <c r="E224" s="366"/>
      <c r="F224" s="367"/>
      <c r="G224" s="366"/>
      <c r="H224" s="367"/>
      <c r="I224" s="366"/>
      <c r="J224" s="367"/>
      <c r="K224" s="368"/>
      <c r="L224" s="369"/>
      <c r="M224" s="67"/>
      <c r="N224" s="366"/>
      <c r="O224" s="367"/>
      <c r="P224" s="366"/>
      <c r="Q224" s="367"/>
      <c r="R224" s="366"/>
      <c r="S224" s="367"/>
      <c r="T224" s="368"/>
      <c r="U224" s="369"/>
      <c r="V224" s="67"/>
      <c r="W224" s="68"/>
      <c r="X224" s="68"/>
      <c r="Y224" s="68"/>
    </row>
    <row r="225" spans="1:25" s="59" customFormat="1" ht="15.75" customHeight="1">
      <c r="A225" s="60"/>
      <c r="B225" s="65"/>
      <c r="C225" s="66"/>
      <c r="D225" s="66"/>
      <c r="E225" s="366"/>
      <c r="F225" s="367"/>
      <c r="G225" s="366"/>
      <c r="H225" s="367"/>
      <c r="I225" s="366"/>
      <c r="J225" s="367"/>
      <c r="K225" s="368"/>
      <c r="L225" s="369"/>
      <c r="M225" s="67"/>
      <c r="N225" s="366"/>
      <c r="O225" s="367"/>
      <c r="P225" s="366"/>
      <c r="Q225" s="367"/>
      <c r="R225" s="366"/>
      <c r="S225" s="367"/>
      <c r="T225" s="368"/>
      <c r="U225" s="369"/>
      <c r="V225" s="67"/>
      <c r="W225" s="68"/>
      <c r="X225" s="68"/>
      <c r="Y225" s="68"/>
    </row>
    <row r="226" spans="1:4" s="59" customFormat="1" ht="12.75">
      <c r="A226" s="69"/>
      <c r="C226" s="70"/>
      <c r="D226" s="70"/>
    </row>
    <row r="227" spans="1:25" s="59" customFormat="1" ht="12.75">
      <c r="A227" s="394" t="s">
        <v>172</v>
      </c>
      <c r="B227" s="395"/>
      <c r="C227" s="395"/>
      <c r="D227" s="395"/>
      <c r="E227" s="395"/>
      <c r="F227" s="395"/>
      <c r="G227" s="341" t="s">
        <v>172</v>
      </c>
      <c r="H227" s="396"/>
      <c r="I227" s="396"/>
      <c r="J227" s="396"/>
      <c r="K227" s="396"/>
      <c r="L227" s="396"/>
      <c r="M227" s="396"/>
      <c r="N227" s="396"/>
      <c r="O227" s="396"/>
      <c r="P227" s="396"/>
      <c r="Q227" s="396"/>
      <c r="R227" s="397"/>
      <c r="S227" s="354" t="s">
        <v>173</v>
      </c>
      <c r="T227" s="360"/>
      <c r="U227" s="360"/>
      <c r="V227" s="360"/>
      <c r="W227" s="360"/>
      <c r="X227" s="360"/>
      <c r="Y227" s="361"/>
    </row>
    <row r="228" spans="1:25" s="59" customFormat="1" ht="12.75">
      <c r="A228" s="60" t="s">
        <v>0</v>
      </c>
      <c r="B228" s="60" t="s">
        <v>174</v>
      </c>
      <c r="C228" s="60" t="s">
        <v>156</v>
      </c>
      <c r="D228" s="60" t="s">
        <v>157</v>
      </c>
      <c r="E228" s="353" t="s">
        <v>175</v>
      </c>
      <c r="F228" s="353"/>
      <c r="G228" s="63" t="s">
        <v>0</v>
      </c>
      <c r="H228" s="64" t="s">
        <v>174</v>
      </c>
      <c r="I228" s="354" t="s">
        <v>156</v>
      </c>
      <c r="J228" s="360"/>
      <c r="K228" s="360"/>
      <c r="L228" s="361"/>
      <c r="M228" s="391" t="s">
        <v>157</v>
      </c>
      <c r="N228" s="392"/>
      <c r="O228" s="392"/>
      <c r="P228" s="393"/>
      <c r="Q228" s="354" t="s">
        <v>175</v>
      </c>
      <c r="R228" s="361"/>
      <c r="S228" s="72"/>
      <c r="T228" s="73"/>
      <c r="U228" s="73"/>
      <c r="V228" s="57"/>
      <c r="W228" s="57"/>
      <c r="X228" s="57"/>
      <c r="Y228" s="58"/>
    </row>
    <row r="229" spans="1:25" s="59" customFormat="1" ht="15.75" customHeight="1">
      <c r="A229" s="60">
        <v>1</v>
      </c>
      <c r="B229" s="71"/>
      <c r="C229" s="74"/>
      <c r="D229" s="74"/>
      <c r="E229" s="384"/>
      <c r="F229" s="385"/>
      <c r="G229" s="247">
        <v>9</v>
      </c>
      <c r="H229" s="71"/>
      <c r="I229" s="386"/>
      <c r="J229" s="387"/>
      <c r="K229" s="387"/>
      <c r="L229" s="388"/>
      <c r="M229" s="386"/>
      <c r="N229" s="387"/>
      <c r="O229" s="387"/>
      <c r="P229" s="388"/>
      <c r="Q229" s="384"/>
      <c r="R229" s="385"/>
      <c r="S229" s="76"/>
      <c r="T229" s="77"/>
      <c r="U229" s="77"/>
      <c r="V229" s="78"/>
      <c r="W229" s="78"/>
      <c r="X229" s="78"/>
      <c r="Y229" s="79"/>
    </row>
    <row r="230" spans="1:25" s="59" customFormat="1" ht="15.75" customHeight="1">
      <c r="A230" s="60">
        <v>2</v>
      </c>
      <c r="B230" s="71"/>
      <c r="C230" s="74"/>
      <c r="D230" s="74"/>
      <c r="E230" s="384"/>
      <c r="F230" s="385"/>
      <c r="G230" s="247">
        <v>10</v>
      </c>
      <c r="H230" s="71"/>
      <c r="I230" s="386"/>
      <c r="J230" s="387"/>
      <c r="K230" s="387"/>
      <c r="L230" s="388"/>
      <c r="M230" s="386"/>
      <c r="N230" s="387"/>
      <c r="O230" s="387"/>
      <c r="P230" s="388"/>
      <c r="Q230" s="389"/>
      <c r="R230" s="390"/>
      <c r="S230" s="72"/>
      <c r="T230" s="73"/>
      <c r="U230" s="73"/>
      <c r="V230" s="57"/>
      <c r="W230" s="57"/>
      <c r="X230" s="57"/>
      <c r="Y230" s="58"/>
    </row>
    <row r="231" spans="1:25" s="59" customFormat="1" ht="15.75" customHeight="1">
      <c r="A231" s="60">
        <v>3</v>
      </c>
      <c r="B231" s="71"/>
      <c r="C231" s="74"/>
      <c r="D231" s="74"/>
      <c r="E231" s="384"/>
      <c r="F231" s="385"/>
      <c r="G231" s="247">
        <v>11</v>
      </c>
      <c r="H231" s="71"/>
      <c r="I231" s="386"/>
      <c r="J231" s="387"/>
      <c r="K231" s="387"/>
      <c r="L231" s="388"/>
      <c r="M231" s="386"/>
      <c r="N231" s="387"/>
      <c r="O231" s="387"/>
      <c r="P231" s="388"/>
      <c r="Q231" s="389"/>
      <c r="R231" s="390"/>
      <c r="S231" s="76"/>
      <c r="T231" s="77"/>
      <c r="U231" s="77"/>
      <c r="V231" s="78"/>
      <c r="W231" s="78"/>
      <c r="X231" s="78"/>
      <c r="Y231" s="79"/>
    </row>
    <row r="232" spans="1:25" s="59" customFormat="1" ht="15.75" customHeight="1">
      <c r="A232" s="60">
        <v>4</v>
      </c>
      <c r="B232" s="71"/>
      <c r="C232" s="74"/>
      <c r="D232" s="74"/>
      <c r="E232" s="384"/>
      <c r="F232" s="385"/>
      <c r="G232" s="247">
        <v>12</v>
      </c>
      <c r="H232" s="71"/>
      <c r="I232" s="386"/>
      <c r="J232" s="387"/>
      <c r="K232" s="387"/>
      <c r="L232" s="388"/>
      <c r="M232" s="386"/>
      <c r="N232" s="387"/>
      <c r="O232" s="387"/>
      <c r="P232" s="388"/>
      <c r="Q232" s="389"/>
      <c r="R232" s="390"/>
      <c r="S232" s="72"/>
      <c r="T232" s="73"/>
      <c r="U232" s="73"/>
      <c r="V232" s="57"/>
      <c r="W232" s="57"/>
      <c r="X232" s="57"/>
      <c r="Y232" s="58"/>
    </row>
    <row r="233" spans="1:25" s="59" customFormat="1" ht="15.75" customHeight="1">
      <c r="A233" s="60">
        <v>5</v>
      </c>
      <c r="B233" s="71"/>
      <c r="C233" s="74"/>
      <c r="D233" s="74"/>
      <c r="E233" s="384"/>
      <c r="F233" s="385"/>
      <c r="G233" s="247">
        <v>13</v>
      </c>
      <c r="H233" s="71"/>
      <c r="I233" s="386"/>
      <c r="J233" s="387"/>
      <c r="K233" s="387"/>
      <c r="L233" s="388"/>
      <c r="M233" s="386"/>
      <c r="N233" s="387"/>
      <c r="O233" s="387"/>
      <c r="P233" s="388"/>
      <c r="Q233" s="389"/>
      <c r="R233" s="390"/>
      <c r="S233" s="76"/>
      <c r="T233" s="77"/>
      <c r="U233" s="77"/>
      <c r="V233" s="78"/>
      <c r="W233" s="78"/>
      <c r="X233" s="78"/>
      <c r="Y233" s="79"/>
    </row>
    <row r="234" spans="1:25" s="59" customFormat="1" ht="15.75" customHeight="1">
      <c r="A234" s="60">
        <v>6</v>
      </c>
      <c r="B234" s="71"/>
      <c r="C234" s="74"/>
      <c r="D234" s="74"/>
      <c r="E234" s="384"/>
      <c r="F234" s="385"/>
      <c r="G234" s="247">
        <v>14</v>
      </c>
      <c r="H234" s="71"/>
      <c r="I234" s="386"/>
      <c r="J234" s="387"/>
      <c r="K234" s="387"/>
      <c r="L234" s="388"/>
      <c r="M234" s="386"/>
      <c r="N234" s="387"/>
      <c r="O234" s="387"/>
      <c r="P234" s="388"/>
      <c r="Q234" s="389"/>
      <c r="R234" s="390"/>
      <c r="S234" s="354" t="s">
        <v>176</v>
      </c>
      <c r="T234" s="360"/>
      <c r="U234" s="360"/>
      <c r="V234" s="360"/>
      <c r="W234" s="360"/>
      <c r="X234" s="360"/>
      <c r="Y234" s="361"/>
    </row>
    <row r="235" spans="1:25" s="59" customFormat="1" ht="15.75" customHeight="1">
      <c r="A235" s="60">
        <v>7</v>
      </c>
      <c r="B235" s="71"/>
      <c r="C235" s="74"/>
      <c r="D235" s="74"/>
      <c r="E235" s="384"/>
      <c r="F235" s="385"/>
      <c r="G235" s="247">
        <v>15</v>
      </c>
      <c r="H235" s="71"/>
      <c r="I235" s="386"/>
      <c r="J235" s="387"/>
      <c r="K235" s="387"/>
      <c r="L235" s="388"/>
      <c r="M235" s="386"/>
      <c r="N235" s="387"/>
      <c r="O235" s="387"/>
      <c r="P235" s="388"/>
      <c r="Q235" s="389"/>
      <c r="R235" s="390"/>
      <c r="S235" s="72"/>
      <c r="T235" s="73"/>
      <c r="U235" s="73"/>
      <c r="V235" s="57"/>
      <c r="W235" s="57"/>
      <c r="X235" s="57"/>
      <c r="Y235" s="58"/>
    </row>
    <row r="236" spans="1:25" s="59" customFormat="1" ht="15.75" customHeight="1">
      <c r="A236" s="60">
        <v>8</v>
      </c>
      <c r="B236" s="71"/>
      <c r="C236" s="74"/>
      <c r="D236" s="74"/>
      <c r="E236" s="384"/>
      <c r="F236" s="385"/>
      <c r="G236" s="247">
        <v>16</v>
      </c>
      <c r="H236" s="71"/>
      <c r="I236" s="386"/>
      <c r="J236" s="387"/>
      <c r="K236" s="387"/>
      <c r="L236" s="388"/>
      <c r="M236" s="386"/>
      <c r="N236" s="387"/>
      <c r="O236" s="387"/>
      <c r="P236" s="388"/>
      <c r="Q236" s="389"/>
      <c r="R236" s="390"/>
      <c r="S236" s="76"/>
      <c r="T236" s="77"/>
      <c r="U236" s="77"/>
      <c r="V236" s="78"/>
      <c r="W236" s="78"/>
      <c r="X236" s="78"/>
      <c r="Y236" s="79"/>
    </row>
    <row r="239" spans="1:25" s="59" customFormat="1" ht="20.25">
      <c r="A239" s="336" t="s">
        <v>147</v>
      </c>
      <c r="B239" s="337"/>
      <c r="C239" s="337"/>
      <c r="D239" s="337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337"/>
      <c r="U239" s="337"/>
      <c r="V239" s="337"/>
      <c r="W239" s="337"/>
      <c r="X239" s="337"/>
      <c r="Y239" s="338"/>
    </row>
    <row r="240" spans="1:25" s="59" customFormat="1" ht="15.75" customHeight="1">
      <c r="A240" s="339" t="s">
        <v>148</v>
      </c>
      <c r="B240" s="340"/>
      <c r="C240" s="341" t="s">
        <v>177</v>
      </c>
      <c r="D240" s="342"/>
      <c r="E240" s="339" t="s">
        <v>149</v>
      </c>
      <c r="F240" s="343"/>
      <c r="G240" s="340"/>
      <c r="H240" s="341" t="s">
        <v>360</v>
      </c>
      <c r="I240" s="344"/>
      <c r="J240" s="345"/>
      <c r="K240" s="345"/>
      <c r="L240" s="346"/>
      <c r="M240" s="347" t="s">
        <v>150</v>
      </c>
      <c r="N240" s="348"/>
      <c r="O240" s="349"/>
      <c r="P240" s="350" t="s">
        <v>370</v>
      </c>
      <c r="Q240" s="351"/>
      <c r="R240" s="351"/>
      <c r="S240" s="351"/>
      <c r="T240" s="351"/>
      <c r="U240" s="351"/>
      <c r="V240" s="351"/>
      <c r="W240" s="351"/>
      <c r="X240" s="351"/>
      <c r="Y240" s="352"/>
    </row>
    <row r="241" spans="1:25" s="59" customFormat="1" ht="15.75" customHeight="1">
      <c r="A241" s="339" t="s">
        <v>179</v>
      </c>
      <c r="B241" s="340"/>
      <c r="C241" s="377" t="s">
        <v>190</v>
      </c>
      <c r="D241" s="378"/>
      <c r="E241" s="339" t="s">
        <v>151</v>
      </c>
      <c r="F241" s="343"/>
      <c r="G241" s="340"/>
      <c r="H241" s="379" t="s">
        <v>199</v>
      </c>
      <c r="I241" s="380"/>
      <c r="J241" s="339" t="s">
        <v>152</v>
      </c>
      <c r="K241" s="343"/>
      <c r="L241" s="340"/>
      <c r="M241" s="381"/>
      <c r="N241" s="375"/>
      <c r="O241" s="376"/>
      <c r="P241" s="373" t="s">
        <v>153</v>
      </c>
      <c r="Q241" s="374"/>
      <c r="R241" s="375"/>
      <c r="S241" s="375"/>
      <c r="T241" s="375" t="e">
        <f>VLOOKUP(I239,eventslist,4,FALSE)</f>
        <v>#NAME?</v>
      </c>
      <c r="U241" s="375"/>
      <c r="V241" s="375" t="e">
        <f>VLOOKUP(K239,eventslist,4,FALSE)</f>
        <v>#NAME?</v>
      </c>
      <c r="W241" s="375"/>
      <c r="X241" s="375" t="e">
        <f>VLOOKUP(M239,eventslist,4,FALSE)</f>
        <v>#NAME?</v>
      </c>
      <c r="Y241" s="376"/>
    </row>
    <row r="242" spans="1:25" s="59" customFormat="1" ht="31.5" customHeight="1">
      <c r="A242" s="60" t="s">
        <v>154</v>
      </c>
      <c r="B242" s="60" t="s">
        <v>155</v>
      </c>
      <c r="C242" s="61" t="s">
        <v>156</v>
      </c>
      <c r="D242" s="62" t="s">
        <v>157</v>
      </c>
      <c r="E242" s="362" t="s">
        <v>158</v>
      </c>
      <c r="F242" s="357"/>
      <c r="G242" s="357" t="s">
        <v>159</v>
      </c>
      <c r="H242" s="357"/>
      <c r="I242" s="357" t="s">
        <v>160</v>
      </c>
      <c r="J242" s="357"/>
      <c r="K242" s="357" t="s">
        <v>161</v>
      </c>
      <c r="L242" s="357"/>
      <c r="M242" s="355" t="s">
        <v>162</v>
      </c>
      <c r="N242" s="357" t="s">
        <v>163</v>
      </c>
      <c r="O242" s="357"/>
      <c r="P242" s="357" t="s">
        <v>164</v>
      </c>
      <c r="Q242" s="357"/>
      <c r="R242" s="357" t="s">
        <v>165</v>
      </c>
      <c r="S242" s="357"/>
      <c r="T242" s="357" t="s">
        <v>166</v>
      </c>
      <c r="U242" s="358"/>
      <c r="V242" s="359" t="s">
        <v>167</v>
      </c>
      <c r="W242" s="354" t="s">
        <v>168</v>
      </c>
      <c r="X242" s="360"/>
      <c r="Y242" s="361"/>
    </row>
    <row r="243" spans="1:25" s="59" customFormat="1" ht="12.75">
      <c r="A243" s="63"/>
      <c r="B243" s="63"/>
      <c r="C243" s="120" t="s">
        <v>385</v>
      </c>
      <c r="D243" s="370" t="s">
        <v>333</v>
      </c>
      <c r="E243" s="371"/>
      <c r="F243" s="372"/>
      <c r="G243" s="353" t="s">
        <v>169</v>
      </c>
      <c r="H243" s="353"/>
      <c r="I243" s="353" t="s">
        <v>169</v>
      </c>
      <c r="J243" s="353"/>
      <c r="K243" s="353" t="s">
        <v>169</v>
      </c>
      <c r="L243" s="353"/>
      <c r="M243" s="356"/>
      <c r="N243" s="353" t="s">
        <v>169</v>
      </c>
      <c r="O243" s="353"/>
      <c r="P243" s="353" t="s">
        <v>169</v>
      </c>
      <c r="Q243" s="353"/>
      <c r="R243" s="353" t="s">
        <v>169</v>
      </c>
      <c r="S243" s="353"/>
      <c r="T243" s="353" t="s">
        <v>169</v>
      </c>
      <c r="U243" s="354"/>
      <c r="V243" s="355"/>
      <c r="W243" s="60"/>
      <c r="X243" s="60" t="s">
        <v>170</v>
      </c>
      <c r="Y243" s="60" t="s">
        <v>171</v>
      </c>
    </row>
    <row r="244" spans="1:25" s="59" customFormat="1" ht="15.75" customHeight="1">
      <c r="A244" s="63">
        <v>1</v>
      </c>
      <c r="B244" s="119">
        <v>1</v>
      </c>
      <c r="C244" s="122" t="s">
        <v>525</v>
      </c>
      <c r="D244" s="122" t="s">
        <v>20</v>
      </c>
      <c r="E244" s="366"/>
      <c r="F244" s="367"/>
      <c r="G244" s="366"/>
      <c r="H244" s="367"/>
      <c r="I244" s="366"/>
      <c r="J244" s="367"/>
      <c r="K244" s="368"/>
      <c r="L244" s="369"/>
      <c r="M244" s="67"/>
      <c r="N244" s="366"/>
      <c r="O244" s="367"/>
      <c r="P244" s="366"/>
      <c r="Q244" s="367"/>
      <c r="R244" s="366"/>
      <c r="S244" s="367"/>
      <c r="T244" s="368"/>
      <c r="U244" s="369"/>
      <c r="V244" s="67"/>
      <c r="W244" s="68"/>
      <c r="X244" s="68"/>
      <c r="Y244" s="68"/>
    </row>
    <row r="245" spans="1:25" s="59" customFormat="1" ht="15.75" customHeight="1">
      <c r="A245" s="60">
        <v>2</v>
      </c>
      <c r="B245" s="119">
        <v>2</v>
      </c>
      <c r="C245" s="122" t="s">
        <v>526</v>
      </c>
      <c r="D245" s="122" t="s">
        <v>20</v>
      </c>
      <c r="E245" s="366"/>
      <c r="F245" s="367"/>
      <c r="G245" s="366"/>
      <c r="H245" s="367"/>
      <c r="I245" s="366"/>
      <c r="J245" s="367"/>
      <c r="K245" s="368"/>
      <c r="L245" s="369"/>
      <c r="M245" s="67"/>
      <c r="N245" s="366"/>
      <c r="O245" s="367"/>
      <c r="P245" s="366"/>
      <c r="Q245" s="367"/>
      <c r="R245" s="366"/>
      <c r="S245" s="367"/>
      <c r="T245" s="368"/>
      <c r="U245" s="369"/>
      <c r="V245" s="67"/>
      <c r="W245" s="68"/>
      <c r="X245" s="68"/>
      <c r="Y245" s="68"/>
    </row>
    <row r="246" spans="1:25" s="59" customFormat="1" ht="15.75" customHeight="1">
      <c r="A246" s="60">
        <v>3</v>
      </c>
      <c r="B246" s="119">
        <v>3</v>
      </c>
      <c r="C246" s="122" t="s">
        <v>527</v>
      </c>
      <c r="D246" s="122" t="s">
        <v>16</v>
      </c>
      <c r="E246" s="366"/>
      <c r="F246" s="367"/>
      <c r="G246" s="366"/>
      <c r="H246" s="367"/>
      <c r="I246" s="366"/>
      <c r="J246" s="367"/>
      <c r="K246" s="368"/>
      <c r="L246" s="369"/>
      <c r="M246" s="67"/>
      <c r="N246" s="366"/>
      <c r="O246" s="367"/>
      <c r="P246" s="366"/>
      <c r="Q246" s="367"/>
      <c r="R246" s="366"/>
      <c r="S246" s="367"/>
      <c r="T246" s="368"/>
      <c r="U246" s="369"/>
      <c r="V246" s="67"/>
      <c r="W246" s="68"/>
      <c r="X246" s="68"/>
      <c r="Y246" s="68"/>
    </row>
    <row r="247" spans="1:25" s="59" customFormat="1" ht="15.75" customHeight="1">
      <c r="A247" s="60">
        <v>4</v>
      </c>
      <c r="B247" s="119">
        <v>4</v>
      </c>
      <c r="C247" s="122" t="s">
        <v>528</v>
      </c>
      <c r="D247" s="122" t="s">
        <v>16</v>
      </c>
      <c r="E247" s="366"/>
      <c r="F247" s="367"/>
      <c r="G247" s="366"/>
      <c r="H247" s="367"/>
      <c r="I247" s="366"/>
      <c r="J247" s="367"/>
      <c r="K247" s="368"/>
      <c r="L247" s="369"/>
      <c r="M247" s="67"/>
      <c r="N247" s="366"/>
      <c r="O247" s="367"/>
      <c r="P247" s="366"/>
      <c r="Q247" s="367"/>
      <c r="R247" s="366"/>
      <c r="S247" s="367"/>
      <c r="T247" s="368"/>
      <c r="U247" s="369"/>
      <c r="V247" s="67"/>
      <c r="W247" s="68"/>
      <c r="X247" s="68"/>
      <c r="Y247" s="68"/>
    </row>
    <row r="248" spans="1:25" s="59" customFormat="1" ht="15.75" customHeight="1">
      <c r="A248" s="60">
        <v>5</v>
      </c>
      <c r="B248" s="119">
        <v>5</v>
      </c>
      <c r="C248" s="122" t="s">
        <v>529</v>
      </c>
      <c r="D248" s="122" t="s">
        <v>18</v>
      </c>
      <c r="E248" s="366"/>
      <c r="F248" s="367"/>
      <c r="G248" s="366"/>
      <c r="H248" s="367"/>
      <c r="I248" s="366"/>
      <c r="J248" s="367"/>
      <c r="K248" s="368"/>
      <c r="L248" s="369"/>
      <c r="M248" s="67"/>
      <c r="N248" s="366"/>
      <c r="O248" s="367"/>
      <c r="P248" s="366"/>
      <c r="Q248" s="367"/>
      <c r="R248" s="366"/>
      <c r="S248" s="367"/>
      <c r="T248" s="368"/>
      <c r="U248" s="369"/>
      <c r="V248" s="67"/>
      <c r="W248" s="68"/>
      <c r="X248" s="68"/>
      <c r="Y248" s="68"/>
    </row>
    <row r="249" spans="1:25" s="59" customFormat="1" ht="15.75" customHeight="1">
      <c r="A249" s="60">
        <v>6</v>
      </c>
      <c r="B249" s="119">
        <v>7</v>
      </c>
      <c r="C249" s="122" t="s">
        <v>530</v>
      </c>
      <c r="D249" s="122" t="s">
        <v>18</v>
      </c>
      <c r="E249" s="366"/>
      <c r="F249" s="367"/>
      <c r="G249" s="366"/>
      <c r="H249" s="367"/>
      <c r="I249" s="366"/>
      <c r="J249" s="367"/>
      <c r="K249" s="368"/>
      <c r="L249" s="369"/>
      <c r="M249" s="67"/>
      <c r="N249" s="366"/>
      <c r="O249" s="367"/>
      <c r="P249" s="366"/>
      <c r="Q249" s="367"/>
      <c r="R249" s="366"/>
      <c r="S249" s="367"/>
      <c r="T249" s="368"/>
      <c r="U249" s="369"/>
      <c r="V249" s="67"/>
      <c r="W249" s="68"/>
      <c r="X249" s="68"/>
      <c r="Y249" s="68"/>
    </row>
    <row r="250" spans="1:25" s="59" customFormat="1" ht="15.75" customHeight="1">
      <c r="A250" s="60">
        <v>7</v>
      </c>
      <c r="B250" s="119">
        <v>9</v>
      </c>
      <c r="C250" s="122" t="s">
        <v>531</v>
      </c>
      <c r="D250" s="119" t="s">
        <v>92</v>
      </c>
      <c r="E250" s="366"/>
      <c r="F250" s="367"/>
      <c r="G250" s="366"/>
      <c r="H250" s="367"/>
      <c r="I250" s="366"/>
      <c r="J250" s="367"/>
      <c r="K250" s="368"/>
      <c r="L250" s="369"/>
      <c r="M250" s="67"/>
      <c r="N250" s="366"/>
      <c r="O250" s="367"/>
      <c r="P250" s="366"/>
      <c r="Q250" s="367"/>
      <c r="R250" s="366"/>
      <c r="S250" s="367"/>
      <c r="T250" s="368"/>
      <c r="U250" s="369"/>
      <c r="V250" s="67"/>
      <c r="W250" s="68"/>
      <c r="X250" s="68"/>
      <c r="Y250" s="68"/>
    </row>
    <row r="251" spans="1:25" s="59" customFormat="1" ht="15.75" customHeight="1">
      <c r="A251" s="60">
        <v>8</v>
      </c>
      <c r="B251" s="119">
        <v>10</v>
      </c>
      <c r="C251" s="122" t="s">
        <v>532</v>
      </c>
      <c r="D251" s="119" t="s">
        <v>92</v>
      </c>
      <c r="E251" s="366"/>
      <c r="F251" s="367"/>
      <c r="G251" s="366"/>
      <c r="H251" s="367"/>
      <c r="I251" s="366"/>
      <c r="J251" s="367"/>
      <c r="K251" s="368"/>
      <c r="L251" s="369"/>
      <c r="M251" s="67"/>
      <c r="N251" s="366"/>
      <c r="O251" s="367"/>
      <c r="P251" s="366"/>
      <c r="Q251" s="367"/>
      <c r="R251" s="366"/>
      <c r="S251" s="367"/>
      <c r="T251" s="368"/>
      <c r="U251" s="369"/>
      <c r="V251" s="67"/>
      <c r="W251" s="68"/>
      <c r="X251" s="68"/>
      <c r="Y251" s="68"/>
    </row>
    <row r="252" spans="1:25" s="59" customFormat="1" ht="15.75" customHeight="1">
      <c r="A252" s="231">
        <v>9</v>
      </c>
      <c r="B252" s="119">
        <v>11</v>
      </c>
      <c r="C252" s="122" t="s">
        <v>533</v>
      </c>
      <c r="D252" s="119" t="s">
        <v>19</v>
      </c>
      <c r="E252" s="232"/>
      <c r="F252" s="233"/>
      <c r="G252" s="232"/>
      <c r="H252" s="233"/>
      <c r="I252" s="232"/>
      <c r="J252" s="233"/>
      <c r="K252" s="234"/>
      <c r="L252" s="235"/>
      <c r="M252" s="67"/>
      <c r="N252" s="232"/>
      <c r="O252" s="233"/>
      <c r="P252" s="232"/>
      <c r="Q252" s="233"/>
      <c r="R252" s="232"/>
      <c r="S252" s="233"/>
      <c r="T252" s="234"/>
      <c r="U252" s="235"/>
      <c r="V252" s="67"/>
      <c r="W252" s="236"/>
      <c r="X252" s="236"/>
      <c r="Y252" s="236"/>
    </row>
    <row r="253" spans="1:25" s="59" customFormat="1" ht="15.75" customHeight="1">
      <c r="A253" s="231">
        <v>10</v>
      </c>
      <c r="B253" s="119">
        <v>12</v>
      </c>
      <c r="C253" s="119" t="s">
        <v>534</v>
      </c>
      <c r="D253" s="119" t="s">
        <v>19</v>
      </c>
      <c r="E253" s="232"/>
      <c r="F253" s="233"/>
      <c r="G253" s="232"/>
      <c r="H253" s="233"/>
      <c r="I253" s="232"/>
      <c r="J253" s="233"/>
      <c r="K253" s="234"/>
      <c r="L253" s="235"/>
      <c r="M253" s="67"/>
      <c r="N253" s="232"/>
      <c r="O253" s="233"/>
      <c r="P253" s="232"/>
      <c r="Q253" s="233"/>
      <c r="R253" s="232"/>
      <c r="S253" s="233"/>
      <c r="T253" s="234"/>
      <c r="U253" s="235"/>
      <c r="V253" s="67"/>
      <c r="W253" s="236"/>
      <c r="X253" s="236"/>
      <c r="Y253" s="236"/>
    </row>
    <row r="254" spans="1:25" s="59" customFormat="1" ht="15.75" customHeight="1">
      <c r="A254" s="231"/>
      <c r="B254" s="119"/>
      <c r="C254" s="119"/>
      <c r="D254" s="119"/>
      <c r="E254" s="366"/>
      <c r="F254" s="367"/>
      <c r="G254" s="366"/>
      <c r="H254" s="367"/>
      <c r="I254" s="366"/>
      <c r="J254" s="367"/>
      <c r="K254" s="368"/>
      <c r="L254" s="369"/>
      <c r="M254" s="67"/>
      <c r="N254" s="366"/>
      <c r="O254" s="367"/>
      <c r="P254" s="366"/>
      <c r="Q254" s="367"/>
      <c r="R254" s="366"/>
      <c r="S254" s="367"/>
      <c r="T254" s="368"/>
      <c r="U254" s="369"/>
      <c r="V254" s="67"/>
      <c r="W254" s="236"/>
      <c r="X254" s="236"/>
      <c r="Y254" s="236"/>
    </row>
    <row r="255" spans="1:25" s="59" customFormat="1" ht="15.75" customHeight="1">
      <c r="A255" s="60"/>
      <c r="B255" s="119"/>
      <c r="C255" s="121" t="s">
        <v>386</v>
      </c>
      <c r="D255" s="370" t="s">
        <v>364</v>
      </c>
      <c r="E255" s="371"/>
      <c r="F255" s="372"/>
      <c r="G255" s="366"/>
      <c r="H255" s="367"/>
      <c r="I255" s="366"/>
      <c r="J255" s="367"/>
      <c r="K255" s="368"/>
      <c r="L255" s="369"/>
      <c r="M255" s="67"/>
      <c r="N255" s="366"/>
      <c r="O255" s="367"/>
      <c r="P255" s="366"/>
      <c r="Q255" s="367"/>
      <c r="R255" s="366"/>
      <c r="S255" s="367"/>
      <c r="T255" s="368"/>
      <c r="U255" s="369"/>
      <c r="V255" s="67"/>
      <c r="W255" s="68"/>
      <c r="X255" s="68"/>
      <c r="Y255" s="68"/>
    </row>
    <row r="256" spans="1:25" s="59" customFormat="1" ht="15.75" customHeight="1">
      <c r="A256" s="60">
        <v>11</v>
      </c>
      <c r="B256" s="119">
        <v>7</v>
      </c>
      <c r="C256" s="122" t="s">
        <v>535</v>
      </c>
      <c r="D256" s="122" t="s">
        <v>22</v>
      </c>
      <c r="E256" s="366"/>
      <c r="F256" s="367"/>
      <c r="G256" s="366"/>
      <c r="H256" s="367"/>
      <c r="I256" s="366"/>
      <c r="J256" s="367"/>
      <c r="K256" s="368"/>
      <c r="L256" s="369"/>
      <c r="M256" s="67"/>
      <c r="N256" s="366"/>
      <c r="O256" s="367"/>
      <c r="P256" s="366"/>
      <c r="Q256" s="367"/>
      <c r="R256" s="366"/>
      <c r="S256" s="367"/>
      <c r="T256" s="368"/>
      <c r="U256" s="369"/>
      <c r="V256" s="67"/>
      <c r="W256" s="68"/>
      <c r="X256" s="68"/>
      <c r="Y256" s="68"/>
    </row>
    <row r="257" spans="1:25" s="59" customFormat="1" ht="15.75" customHeight="1">
      <c r="A257" s="60">
        <v>12</v>
      </c>
      <c r="B257" s="119">
        <v>9</v>
      </c>
      <c r="C257" s="122" t="s">
        <v>536</v>
      </c>
      <c r="D257" s="119" t="s">
        <v>92</v>
      </c>
      <c r="E257" s="366"/>
      <c r="F257" s="367"/>
      <c r="G257" s="366"/>
      <c r="H257" s="367"/>
      <c r="I257" s="366"/>
      <c r="J257" s="367"/>
      <c r="K257" s="368"/>
      <c r="L257" s="369"/>
      <c r="M257" s="67"/>
      <c r="N257" s="366"/>
      <c r="O257" s="367"/>
      <c r="P257" s="366"/>
      <c r="Q257" s="367"/>
      <c r="R257" s="366"/>
      <c r="S257" s="367"/>
      <c r="T257" s="368"/>
      <c r="U257" s="369"/>
      <c r="V257" s="67"/>
      <c r="W257" s="68"/>
      <c r="X257" s="68"/>
      <c r="Y257" s="68"/>
    </row>
    <row r="258" spans="1:25" s="59" customFormat="1" ht="15.75" customHeight="1">
      <c r="A258" s="60"/>
      <c r="B258" s="119"/>
      <c r="C258" s="163"/>
      <c r="D258" s="194"/>
      <c r="E258" s="400"/>
      <c r="F258" s="401"/>
      <c r="G258" s="366"/>
      <c r="H258" s="367"/>
      <c r="I258" s="366"/>
      <c r="J258" s="367"/>
      <c r="K258" s="368"/>
      <c r="L258" s="369"/>
      <c r="M258" s="67"/>
      <c r="N258" s="366"/>
      <c r="O258" s="367"/>
      <c r="P258" s="366"/>
      <c r="Q258" s="367"/>
      <c r="R258" s="366"/>
      <c r="S258" s="367"/>
      <c r="T258" s="368"/>
      <c r="U258" s="369"/>
      <c r="V258" s="67"/>
      <c r="W258" s="68"/>
      <c r="X258" s="68"/>
      <c r="Y258" s="68"/>
    </row>
    <row r="259" spans="1:25" s="59" customFormat="1" ht="15.75" customHeight="1">
      <c r="A259" s="60"/>
      <c r="B259" s="119"/>
      <c r="C259" s="119"/>
      <c r="D259" s="119"/>
      <c r="E259" s="366"/>
      <c r="F259" s="367"/>
      <c r="G259" s="366"/>
      <c r="H259" s="367"/>
      <c r="I259" s="366"/>
      <c r="J259" s="367"/>
      <c r="K259" s="368"/>
      <c r="L259" s="369"/>
      <c r="M259" s="67"/>
      <c r="N259" s="366"/>
      <c r="O259" s="367"/>
      <c r="P259" s="366"/>
      <c r="Q259" s="367"/>
      <c r="R259" s="366"/>
      <c r="S259" s="367"/>
      <c r="T259" s="368"/>
      <c r="U259" s="369"/>
      <c r="V259" s="67"/>
      <c r="W259" s="68"/>
      <c r="X259" s="68"/>
      <c r="Y259" s="68"/>
    </row>
    <row r="260" spans="1:4" s="59" customFormat="1" ht="12.75">
      <c r="A260" s="69"/>
      <c r="C260" s="70"/>
      <c r="D260" s="70"/>
    </row>
    <row r="261" spans="1:25" s="59" customFormat="1" ht="12.75">
      <c r="A261" s="394" t="s">
        <v>172</v>
      </c>
      <c r="B261" s="395"/>
      <c r="C261" s="395"/>
      <c r="D261" s="395"/>
      <c r="E261" s="395"/>
      <c r="F261" s="395"/>
      <c r="G261" s="341" t="s">
        <v>172</v>
      </c>
      <c r="H261" s="396"/>
      <c r="I261" s="396"/>
      <c r="J261" s="396"/>
      <c r="K261" s="396"/>
      <c r="L261" s="396"/>
      <c r="M261" s="396"/>
      <c r="N261" s="396"/>
      <c r="O261" s="396"/>
      <c r="P261" s="396"/>
      <c r="Q261" s="396"/>
      <c r="R261" s="397"/>
      <c r="S261" s="354" t="s">
        <v>173</v>
      </c>
      <c r="T261" s="360"/>
      <c r="U261" s="360"/>
      <c r="V261" s="360"/>
      <c r="W261" s="360"/>
      <c r="X261" s="360"/>
      <c r="Y261" s="361"/>
    </row>
    <row r="262" spans="1:25" s="59" customFormat="1" ht="12.75">
      <c r="A262" s="60" t="s">
        <v>0</v>
      </c>
      <c r="B262" s="60" t="s">
        <v>174</v>
      </c>
      <c r="C262" s="60" t="s">
        <v>156</v>
      </c>
      <c r="D262" s="60" t="s">
        <v>157</v>
      </c>
      <c r="E262" s="353" t="s">
        <v>175</v>
      </c>
      <c r="F262" s="353"/>
      <c r="G262" s="63" t="s">
        <v>0</v>
      </c>
      <c r="H262" s="64" t="s">
        <v>174</v>
      </c>
      <c r="I262" s="354" t="s">
        <v>156</v>
      </c>
      <c r="J262" s="360"/>
      <c r="K262" s="360"/>
      <c r="L262" s="361"/>
      <c r="M262" s="391" t="s">
        <v>157</v>
      </c>
      <c r="N262" s="392"/>
      <c r="O262" s="392"/>
      <c r="P262" s="393"/>
      <c r="Q262" s="354" t="s">
        <v>175</v>
      </c>
      <c r="R262" s="361"/>
      <c r="S262" s="72"/>
      <c r="T262" s="73"/>
      <c r="U262" s="73"/>
      <c r="V262" s="57"/>
      <c r="W262" s="57"/>
      <c r="X262" s="57"/>
      <c r="Y262" s="58"/>
    </row>
    <row r="263" spans="1:25" s="59" customFormat="1" ht="15.75" customHeight="1">
      <c r="A263" s="60">
        <v>1</v>
      </c>
      <c r="B263" s="71"/>
      <c r="C263" s="74"/>
      <c r="D263" s="74"/>
      <c r="E263" s="384"/>
      <c r="F263" s="385"/>
      <c r="G263" s="247">
        <v>9</v>
      </c>
      <c r="H263" s="71"/>
      <c r="I263" s="386"/>
      <c r="J263" s="387"/>
      <c r="K263" s="387"/>
      <c r="L263" s="388"/>
      <c r="M263" s="386"/>
      <c r="N263" s="387"/>
      <c r="O263" s="387"/>
      <c r="P263" s="388"/>
      <c r="Q263" s="384"/>
      <c r="R263" s="385"/>
      <c r="S263" s="76"/>
      <c r="T263" s="77"/>
      <c r="U263" s="77"/>
      <c r="V263" s="78"/>
      <c r="W263" s="78"/>
      <c r="X263" s="78"/>
      <c r="Y263" s="79"/>
    </row>
    <row r="264" spans="1:25" s="59" customFormat="1" ht="15.75" customHeight="1">
      <c r="A264" s="60">
        <v>2</v>
      </c>
      <c r="B264" s="71"/>
      <c r="C264" s="74"/>
      <c r="D264" s="74"/>
      <c r="E264" s="384"/>
      <c r="F264" s="385"/>
      <c r="G264" s="247">
        <v>10</v>
      </c>
      <c r="H264" s="71"/>
      <c r="I264" s="386"/>
      <c r="J264" s="387"/>
      <c r="K264" s="387"/>
      <c r="L264" s="388"/>
      <c r="M264" s="386"/>
      <c r="N264" s="387"/>
      <c r="O264" s="387"/>
      <c r="P264" s="388"/>
      <c r="Q264" s="389"/>
      <c r="R264" s="390"/>
      <c r="S264" s="72"/>
      <c r="T264" s="73"/>
      <c r="U264" s="73"/>
      <c r="V264" s="57"/>
      <c r="W264" s="57"/>
      <c r="X264" s="57"/>
      <c r="Y264" s="58"/>
    </row>
    <row r="265" spans="1:25" s="59" customFormat="1" ht="15.75" customHeight="1">
      <c r="A265" s="60">
        <v>3</v>
      </c>
      <c r="B265" s="71"/>
      <c r="C265" s="74"/>
      <c r="D265" s="74"/>
      <c r="E265" s="384"/>
      <c r="F265" s="385"/>
      <c r="G265" s="247">
        <v>11</v>
      </c>
      <c r="H265" s="71"/>
      <c r="I265" s="386"/>
      <c r="J265" s="387"/>
      <c r="K265" s="387"/>
      <c r="L265" s="388"/>
      <c r="M265" s="386"/>
      <c r="N265" s="387"/>
      <c r="O265" s="387"/>
      <c r="P265" s="388"/>
      <c r="Q265" s="389"/>
      <c r="R265" s="390"/>
      <c r="S265" s="76"/>
      <c r="T265" s="77"/>
      <c r="U265" s="77"/>
      <c r="V265" s="78"/>
      <c r="W265" s="78"/>
      <c r="X265" s="78"/>
      <c r="Y265" s="79"/>
    </row>
    <row r="266" spans="1:25" s="59" customFormat="1" ht="15.75" customHeight="1">
      <c r="A266" s="60">
        <v>4</v>
      </c>
      <c r="B266" s="71"/>
      <c r="C266" s="74"/>
      <c r="D266" s="74"/>
      <c r="E266" s="384"/>
      <c r="F266" s="385"/>
      <c r="G266" s="247">
        <v>12</v>
      </c>
      <c r="H266" s="71"/>
      <c r="I266" s="386"/>
      <c r="J266" s="387"/>
      <c r="K266" s="387"/>
      <c r="L266" s="388"/>
      <c r="M266" s="386"/>
      <c r="N266" s="387"/>
      <c r="O266" s="387"/>
      <c r="P266" s="388"/>
      <c r="Q266" s="389"/>
      <c r="R266" s="390"/>
      <c r="S266" s="72"/>
      <c r="T266" s="73"/>
      <c r="U266" s="73"/>
      <c r="V266" s="57"/>
      <c r="W266" s="57"/>
      <c r="X266" s="57"/>
      <c r="Y266" s="58"/>
    </row>
    <row r="267" spans="1:25" s="59" customFormat="1" ht="15.75" customHeight="1">
      <c r="A267" s="60">
        <v>5</v>
      </c>
      <c r="B267" s="71"/>
      <c r="C267" s="74"/>
      <c r="D267" s="74"/>
      <c r="E267" s="384"/>
      <c r="F267" s="385"/>
      <c r="G267" s="247">
        <v>13</v>
      </c>
      <c r="H267" s="71"/>
      <c r="I267" s="386"/>
      <c r="J267" s="387"/>
      <c r="K267" s="387"/>
      <c r="L267" s="388"/>
      <c r="M267" s="386"/>
      <c r="N267" s="387"/>
      <c r="O267" s="387"/>
      <c r="P267" s="388"/>
      <c r="Q267" s="389"/>
      <c r="R267" s="390"/>
      <c r="S267" s="76"/>
      <c r="T267" s="77"/>
      <c r="U267" s="77"/>
      <c r="V267" s="78"/>
      <c r="W267" s="78"/>
      <c r="X267" s="78"/>
      <c r="Y267" s="79"/>
    </row>
    <row r="268" spans="1:25" s="59" customFormat="1" ht="15.75" customHeight="1">
      <c r="A268" s="60">
        <v>6</v>
      </c>
      <c r="B268" s="71"/>
      <c r="C268" s="74"/>
      <c r="D268" s="74"/>
      <c r="E268" s="384"/>
      <c r="F268" s="385"/>
      <c r="G268" s="247">
        <v>14</v>
      </c>
      <c r="H268" s="71"/>
      <c r="I268" s="386"/>
      <c r="J268" s="387"/>
      <c r="K268" s="387"/>
      <c r="L268" s="388"/>
      <c r="M268" s="386"/>
      <c r="N268" s="387"/>
      <c r="O268" s="387"/>
      <c r="P268" s="388"/>
      <c r="Q268" s="389"/>
      <c r="R268" s="390"/>
      <c r="S268" s="354" t="s">
        <v>176</v>
      </c>
      <c r="T268" s="360"/>
      <c r="U268" s="360"/>
      <c r="V268" s="360"/>
      <c r="W268" s="360"/>
      <c r="X268" s="360"/>
      <c r="Y268" s="361"/>
    </row>
    <row r="269" spans="1:25" s="59" customFormat="1" ht="15.75" customHeight="1">
      <c r="A269" s="60">
        <v>7</v>
      </c>
      <c r="B269" s="71"/>
      <c r="C269" s="74"/>
      <c r="D269" s="74"/>
      <c r="E269" s="384"/>
      <c r="F269" s="385"/>
      <c r="G269" s="247">
        <v>15</v>
      </c>
      <c r="H269" s="71"/>
      <c r="I269" s="386"/>
      <c r="J269" s="387"/>
      <c r="K269" s="387"/>
      <c r="L269" s="388"/>
      <c r="M269" s="386"/>
      <c r="N269" s="387"/>
      <c r="O269" s="387"/>
      <c r="P269" s="388"/>
      <c r="Q269" s="389"/>
      <c r="R269" s="390"/>
      <c r="S269" s="72"/>
      <c r="T269" s="73"/>
      <c r="U269" s="73"/>
      <c r="V269" s="57"/>
      <c r="W269" s="57"/>
      <c r="X269" s="57"/>
      <c r="Y269" s="58"/>
    </row>
    <row r="270" spans="1:25" s="59" customFormat="1" ht="15.75" customHeight="1">
      <c r="A270" s="60">
        <v>8</v>
      </c>
      <c r="B270" s="71"/>
      <c r="C270" s="74"/>
      <c r="D270" s="74"/>
      <c r="E270" s="384"/>
      <c r="F270" s="385"/>
      <c r="G270" s="247">
        <v>16</v>
      </c>
      <c r="H270" s="71"/>
      <c r="I270" s="386"/>
      <c r="J270" s="387"/>
      <c r="K270" s="387"/>
      <c r="L270" s="388"/>
      <c r="M270" s="386"/>
      <c r="N270" s="387"/>
      <c r="O270" s="387"/>
      <c r="P270" s="388"/>
      <c r="Q270" s="389"/>
      <c r="R270" s="390"/>
      <c r="S270" s="76"/>
      <c r="T270" s="77"/>
      <c r="U270" s="77"/>
      <c r="V270" s="78"/>
      <c r="W270" s="78"/>
      <c r="X270" s="78"/>
      <c r="Y270" s="79"/>
    </row>
    <row r="273" spans="1:25" s="59" customFormat="1" ht="20.25">
      <c r="A273" s="336" t="s">
        <v>147</v>
      </c>
      <c r="B273" s="337"/>
      <c r="C273" s="337"/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8"/>
    </row>
    <row r="274" spans="1:25" s="59" customFormat="1" ht="15.75" customHeight="1">
      <c r="A274" s="339" t="s">
        <v>148</v>
      </c>
      <c r="B274" s="340"/>
      <c r="C274" s="341" t="s">
        <v>177</v>
      </c>
      <c r="D274" s="342"/>
      <c r="E274" s="339" t="s">
        <v>149</v>
      </c>
      <c r="F274" s="343"/>
      <c r="G274" s="340"/>
      <c r="H274" s="341" t="s">
        <v>360</v>
      </c>
      <c r="I274" s="344"/>
      <c r="J274" s="345"/>
      <c r="K274" s="345"/>
      <c r="L274" s="346"/>
      <c r="M274" s="347" t="s">
        <v>150</v>
      </c>
      <c r="N274" s="348"/>
      <c r="O274" s="349"/>
      <c r="P274" s="350" t="s">
        <v>368</v>
      </c>
      <c r="Q274" s="351"/>
      <c r="R274" s="351"/>
      <c r="S274" s="351"/>
      <c r="T274" s="351"/>
      <c r="U274" s="351"/>
      <c r="V274" s="351"/>
      <c r="W274" s="351"/>
      <c r="X274" s="351"/>
      <c r="Y274" s="352"/>
    </row>
    <row r="275" spans="1:25" s="59" customFormat="1" ht="15.75" customHeight="1">
      <c r="A275" s="339" t="s">
        <v>179</v>
      </c>
      <c r="B275" s="340"/>
      <c r="C275" s="377" t="s">
        <v>188</v>
      </c>
      <c r="D275" s="378"/>
      <c r="E275" s="339" t="s">
        <v>151</v>
      </c>
      <c r="F275" s="343"/>
      <c r="G275" s="340"/>
      <c r="H275" s="379" t="s">
        <v>200</v>
      </c>
      <c r="I275" s="380"/>
      <c r="J275" s="339" t="s">
        <v>152</v>
      </c>
      <c r="K275" s="343"/>
      <c r="L275" s="340"/>
      <c r="M275" s="381"/>
      <c r="N275" s="375"/>
      <c r="O275" s="376"/>
      <c r="P275" s="373" t="s">
        <v>153</v>
      </c>
      <c r="Q275" s="374"/>
      <c r="R275" s="375"/>
      <c r="S275" s="375"/>
      <c r="T275" s="375" t="e">
        <f>VLOOKUP(I273,eventslist,4,FALSE)</f>
        <v>#NAME?</v>
      </c>
      <c r="U275" s="375"/>
      <c r="V275" s="375" t="e">
        <f>VLOOKUP(K273,eventslist,4,FALSE)</f>
        <v>#NAME?</v>
      </c>
      <c r="W275" s="375"/>
      <c r="X275" s="375" t="e">
        <f>VLOOKUP(M273,eventslist,4,FALSE)</f>
        <v>#NAME?</v>
      </c>
      <c r="Y275" s="376"/>
    </row>
    <row r="276" spans="1:25" s="59" customFormat="1" ht="31.5" customHeight="1">
      <c r="A276" s="60" t="s">
        <v>154</v>
      </c>
      <c r="B276" s="60" t="s">
        <v>155</v>
      </c>
      <c r="C276" s="61" t="s">
        <v>156</v>
      </c>
      <c r="D276" s="62" t="s">
        <v>157</v>
      </c>
      <c r="E276" s="362" t="s">
        <v>158</v>
      </c>
      <c r="F276" s="357"/>
      <c r="G276" s="357" t="s">
        <v>159</v>
      </c>
      <c r="H276" s="357"/>
      <c r="I276" s="357" t="s">
        <v>160</v>
      </c>
      <c r="J276" s="357"/>
      <c r="K276" s="357" t="s">
        <v>161</v>
      </c>
      <c r="L276" s="357"/>
      <c r="M276" s="355" t="s">
        <v>162</v>
      </c>
      <c r="N276" s="357" t="s">
        <v>163</v>
      </c>
      <c r="O276" s="357"/>
      <c r="P276" s="357" t="s">
        <v>164</v>
      </c>
      <c r="Q276" s="357"/>
      <c r="R276" s="357" t="s">
        <v>165</v>
      </c>
      <c r="S276" s="357"/>
      <c r="T276" s="357" t="s">
        <v>166</v>
      </c>
      <c r="U276" s="358"/>
      <c r="V276" s="359" t="s">
        <v>167</v>
      </c>
      <c r="W276" s="354" t="s">
        <v>168</v>
      </c>
      <c r="X276" s="360"/>
      <c r="Y276" s="361"/>
    </row>
    <row r="277" spans="1:25" s="59" customFormat="1" ht="12.75">
      <c r="A277" s="63"/>
      <c r="B277" s="63"/>
      <c r="C277" s="120" t="s">
        <v>387</v>
      </c>
      <c r="D277" s="370" t="s">
        <v>309</v>
      </c>
      <c r="E277" s="371"/>
      <c r="F277" s="372"/>
      <c r="G277" s="353" t="s">
        <v>169</v>
      </c>
      <c r="H277" s="353"/>
      <c r="I277" s="353" t="s">
        <v>169</v>
      </c>
      <c r="J277" s="353"/>
      <c r="K277" s="353" t="s">
        <v>169</v>
      </c>
      <c r="L277" s="353"/>
      <c r="M277" s="356"/>
      <c r="N277" s="353" t="s">
        <v>169</v>
      </c>
      <c r="O277" s="353"/>
      <c r="P277" s="353" t="s">
        <v>169</v>
      </c>
      <c r="Q277" s="353"/>
      <c r="R277" s="353" t="s">
        <v>169</v>
      </c>
      <c r="S277" s="353"/>
      <c r="T277" s="353" t="s">
        <v>169</v>
      </c>
      <c r="U277" s="354"/>
      <c r="V277" s="355"/>
      <c r="W277" s="60"/>
      <c r="X277" s="60" t="s">
        <v>170</v>
      </c>
      <c r="Y277" s="60" t="s">
        <v>171</v>
      </c>
    </row>
    <row r="278" spans="1:25" s="59" customFormat="1" ht="15.75" customHeight="1">
      <c r="A278" s="63">
        <v>1</v>
      </c>
      <c r="B278" s="119">
        <v>1</v>
      </c>
      <c r="C278" s="122" t="s">
        <v>537</v>
      </c>
      <c r="D278" s="122" t="s">
        <v>20</v>
      </c>
      <c r="E278" s="366"/>
      <c r="F278" s="367"/>
      <c r="G278" s="366"/>
      <c r="H278" s="367"/>
      <c r="I278" s="366"/>
      <c r="J278" s="367"/>
      <c r="K278" s="368"/>
      <c r="L278" s="369"/>
      <c r="M278" s="67"/>
      <c r="N278" s="366"/>
      <c r="O278" s="367"/>
      <c r="P278" s="366"/>
      <c r="Q278" s="367"/>
      <c r="R278" s="366"/>
      <c r="S278" s="367"/>
      <c r="T278" s="368"/>
      <c r="U278" s="369"/>
      <c r="V278" s="67"/>
      <c r="W278" s="68"/>
      <c r="X278" s="68"/>
      <c r="Y278" s="68"/>
    </row>
    <row r="279" spans="1:25" s="59" customFormat="1" ht="15.75" customHeight="1">
      <c r="A279" s="60">
        <v>2</v>
      </c>
      <c r="B279" s="119">
        <v>3</v>
      </c>
      <c r="C279" s="122" t="s">
        <v>538</v>
      </c>
      <c r="D279" s="122" t="s">
        <v>16</v>
      </c>
      <c r="E279" s="366"/>
      <c r="F279" s="367"/>
      <c r="G279" s="366"/>
      <c r="H279" s="367"/>
      <c r="I279" s="366"/>
      <c r="J279" s="367"/>
      <c r="K279" s="368"/>
      <c r="L279" s="369"/>
      <c r="M279" s="67"/>
      <c r="N279" s="366"/>
      <c r="O279" s="367"/>
      <c r="P279" s="366"/>
      <c r="Q279" s="367"/>
      <c r="R279" s="366"/>
      <c r="S279" s="367"/>
      <c r="T279" s="368"/>
      <c r="U279" s="369"/>
      <c r="V279" s="67"/>
      <c r="W279" s="68"/>
      <c r="X279" s="68"/>
      <c r="Y279" s="68"/>
    </row>
    <row r="280" spans="1:25" s="59" customFormat="1" ht="15.75" customHeight="1">
      <c r="A280" s="60">
        <v>3</v>
      </c>
      <c r="B280" s="119">
        <v>4</v>
      </c>
      <c r="C280" s="122" t="s">
        <v>539</v>
      </c>
      <c r="D280" s="122" t="s">
        <v>16</v>
      </c>
      <c r="E280" s="366"/>
      <c r="F280" s="367"/>
      <c r="G280" s="366"/>
      <c r="H280" s="367"/>
      <c r="I280" s="366"/>
      <c r="J280" s="367"/>
      <c r="K280" s="368"/>
      <c r="L280" s="369"/>
      <c r="M280" s="67"/>
      <c r="N280" s="366"/>
      <c r="O280" s="367"/>
      <c r="P280" s="366"/>
      <c r="Q280" s="367"/>
      <c r="R280" s="366"/>
      <c r="S280" s="367"/>
      <c r="T280" s="368"/>
      <c r="U280" s="369"/>
      <c r="V280" s="67"/>
      <c r="W280" s="68"/>
      <c r="X280" s="68"/>
      <c r="Y280" s="68"/>
    </row>
    <row r="281" spans="1:25" s="59" customFormat="1" ht="15.75" customHeight="1">
      <c r="A281" s="60">
        <v>4</v>
      </c>
      <c r="B281" s="119">
        <v>5</v>
      </c>
      <c r="C281" s="122" t="s">
        <v>540</v>
      </c>
      <c r="D281" s="122" t="s">
        <v>18</v>
      </c>
      <c r="E281" s="366"/>
      <c r="F281" s="367"/>
      <c r="G281" s="366"/>
      <c r="H281" s="367"/>
      <c r="I281" s="366"/>
      <c r="J281" s="367"/>
      <c r="K281" s="368"/>
      <c r="L281" s="369"/>
      <c r="M281" s="67"/>
      <c r="N281" s="366"/>
      <c r="O281" s="367"/>
      <c r="P281" s="366"/>
      <c r="Q281" s="367"/>
      <c r="R281" s="366"/>
      <c r="S281" s="367"/>
      <c r="T281" s="368"/>
      <c r="U281" s="369"/>
      <c r="V281" s="67"/>
      <c r="W281" s="68"/>
      <c r="X281" s="68"/>
      <c r="Y281" s="68"/>
    </row>
    <row r="282" spans="1:25" s="59" customFormat="1" ht="15.75" customHeight="1">
      <c r="A282" s="60">
        <v>5</v>
      </c>
      <c r="B282" s="119">
        <v>6</v>
      </c>
      <c r="C282" s="122" t="s">
        <v>541</v>
      </c>
      <c r="D282" s="122" t="s">
        <v>18</v>
      </c>
      <c r="E282" s="366"/>
      <c r="F282" s="367"/>
      <c r="G282" s="366"/>
      <c r="H282" s="367"/>
      <c r="I282" s="366"/>
      <c r="J282" s="367"/>
      <c r="K282" s="368"/>
      <c r="L282" s="369"/>
      <c r="M282" s="67"/>
      <c r="N282" s="366"/>
      <c r="O282" s="367"/>
      <c r="P282" s="366"/>
      <c r="Q282" s="367"/>
      <c r="R282" s="366"/>
      <c r="S282" s="367"/>
      <c r="T282" s="368"/>
      <c r="U282" s="369"/>
      <c r="V282" s="67"/>
      <c r="W282" s="68"/>
      <c r="X282" s="68"/>
      <c r="Y282" s="68"/>
    </row>
    <row r="283" spans="1:25" s="59" customFormat="1" ht="15.75" customHeight="1">
      <c r="A283" s="60">
        <v>6</v>
      </c>
      <c r="B283" s="119">
        <v>7</v>
      </c>
      <c r="C283" s="122" t="s">
        <v>542</v>
      </c>
      <c r="D283" s="122" t="s">
        <v>22</v>
      </c>
      <c r="E283" s="366"/>
      <c r="F283" s="367"/>
      <c r="G283" s="366"/>
      <c r="H283" s="367"/>
      <c r="I283" s="366"/>
      <c r="J283" s="367"/>
      <c r="K283" s="368"/>
      <c r="L283" s="369"/>
      <c r="M283" s="67"/>
      <c r="N283" s="366"/>
      <c r="O283" s="367"/>
      <c r="P283" s="366"/>
      <c r="Q283" s="367"/>
      <c r="R283" s="366"/>
      <c r="S283" s="367"/>
      <c r="T283" s="368"/>
      <c r="U283" s="369"/>
      <c r="V283" s="67"/>
      <c r="W283" s="68"/>
      <c r="X283" s="68"/>
      <c r="Y283" s="68"/>
    </row>
    <row r="284" spans="1:25" s="59" customFormat="1" ht="15.75" customHeight="1">
      <c r="A284" s="60">
        <v>7</v>
      </c>
      <c r="B284" s="119">
        <v>8</v>
      </c>
      <c r="C284" s="122" t="s">
        <v>543</v>
      </c>
      <c r="D284" s="122" t="s">
        <v>22</v>
      </c>
      <c r="E284" s="366"/>
      <c r="F284" s="367"/>
      <c r="G284" s="366"/>
      <c r="H284" s="367"/>
      <c r="I284" s="366"/>
      <c r="J284" s="367"/>
      <c r="K284" s="368"/>
      <c r="L284" s="369"/>
      <c r="M284" s="67"/>
      <c r="N284" s="366"/>
      <c r="O284" s="367"/>
      <c r="P284" s="366"/>
      <c r="Q284" s="367"/>
      <c r="R284" s="366"/>
      <c r="S284" s="367"/>
      <c r="T284" s="368"/>
      <c r="U284" s="369"/>
      <c r="V284" s="67"/>
      <c r="W284" s="68"/>
      <c r="X284" s="68"/>
      <c r="Y284" s="68"/>
    </row>
    <row r="285" spans="1:25" s="59" customFormat="1" ht="15.75" customHeight="1">
      <c r="A285" s="60">
        <v>8</v>
      </c>
      <c r="B285" s="119">
        <v>9</v>
      </c>
      <c r="C285" s="122" t="s">
        <v>544</v>
      </c>
      <c r="D285" s="122" t="s">
        <v>92</v>
      </c>
      <c r="E285" s="366"/>
      <c r="F285" s="367"/>
      <c r="G285" s="366"/>
      <c r="H285" s="367"/>
      <c r="I285" s="366"/>
      <c r="J285" s="367"/>
      <c r="K285" s="368"/>
      <c r="L285" s="369"/>
      <c r="M285" s="67"/>
      <c r="N285" s="366"/>
      <c r="O285" s="367"/>
      <c r="P285" s="366"/>
      <c r="Q285" s="367"/>
      <c r="R285" s="366"/>
      <c r="S285" s="367"/>
      <c r="T285" s="368"/>
      <c r="U285" s="369"/>
      <c r="V285" s="67"/>
      <c r="W285" s="68"/>
      <c r="X285" s="68"/>
      <c r="Y285" s="68"/>
    </row>
    <row r="286" spans="1:25" s="59" customFormat="1" ht="15.75" customHeight="1">
      <c r="A286" s="60">
        <v>9</v>
      </c>
      <c r="B286" s="119">
        <v>10</v>
      </c>
      <c r="C286" s="122" t="s">
        <v>545</v>
      </c>
      <c r="D286" s="122" t="s">
        <v>92</v>
      </c>
      <c r="E286" s="366"/>
      <c r="F286" s="367"/>
      <c r="G286" s="366"/>
      <c r="H286" s="367"/>
      <c r="I286" s="366"/>
      <c r="J286" s="367"/>
      <c r="K286" s="368"/>
      <c r="L286" s="369"/>
      <c r="M286" s="67"/>
      <c r="N286" s="366"/>
      <c r="O286" s="367"/>
      <c r="P286" s="366"/>
      <c r="Q286" s="367"/>
      <c r="R286" s="366"/>
      <c r="S286" s="367"/>
      <c r="T286" s="368"/>
      <c r="U286" s="369"/>
      <c r="V286" s="67"/>
      <c r="W286" s="68"/>
      <c r="X286" s="68"/>
      <c r="Y286" s="68"/>
    </row>
    <row r="287" spans="1:25" s="59" customFormat="1" ht="15.75" customHeight="1">
      <c r="A287" s="60">
        <v>10</v>
      </c>
      <c r="B287" s="119">
        <v>11</v>
      </c>
      <c r="C287" s="122" t="s">
        <v>546</v>
      </c>
      <c r="D287" s="122" t="s">
        <v>19</v>
      </c>
      <c r="E287" s="366"/>
      <c r="F287" s="367"/>
      <c r="G287" s="366"/>
      <c r="H287" s="367"/>
      <c r="I287" s="366"/>
      <c r="J287" s="367"/>
      <c r="K287" s="368"/>
      <c r="L287" s="369"/>
      <c r="M287" s="67"/>
      <c r="N287" s="366"/>
      <c r="O287" s="367"/>
      <c r="P287" s="366"/>
      <c r="Q287" s="367"/>
      <c r="R287" s="366"/>
      <c r="S287" s="367"/>
      <c r="T287" s="368"/>
      <c r="U287" s="369"/>
      <c r="V287" s="67"/>
      <c r="W287" s="68"/>
      <c r="X287" s="68"/>
      <c r="Y287" s="68"/>
    </row>
    <row r="288" spans="1:25" s="59" customFormat="1" ht="15.75" customHeight="1">
      <c r="A288" s="60">
        <v>11</v>
      </c>
      <c r="B288" s="122">
        <v>12</v>
      </c>
      <c r="C288" s="122" t="s">
        <v>547</v>
      </c>
      <c r="D288" s="119" t="s">
        <v>19</v>
      </c>
      <c r="E288" s="366"/>
      <c r="F288" s="367"/>
      <c r="G288" s="366"/>
      <c r="H288" s="367"/>
      <c r="I288" s="366"/>
      <c r="J288" s="367"/>
      <c r="K288" s="368"/>
      <c r="L288" s="369"/>
      <c r="M288" s="67"/>
      <c r="N288" s="366"/>
      <c r="O288" s="367"/>
      <c r="P288" s="366"/>
      <c r="Q288" s="367"/>
      <c r="R288" s="366"/>
      <c r="S288" s="367"/>
      <c r="T288" s="368"/>
      <c r="U288" s="369"/>
      <c r="V288" s="67"/>
      <c r="W288" s="68"/>
      <c r="X288" s="68"/>
      <c r="Y288" s="68"/>
    </row>
    <row r="289" spans="1:25" s="59" customFormat="1" ht="15.75" customHeight="1">
      <c r="A289" s="60"/>
      <c r="B289" s="119"/>
      <c r="C289" s="192"/>
      <c r="D289" s="193"/>
      <c r="E289" s="400"/>
      <c r="F289" s="401"/>
      <c r="G289" s="366"/>
      <c r="H289" s="367"/>
      <c r="I289" s="366"/>
      <c r="J289" s="367"/>
      <c r="K289" s="368"/>
      <c r="L289" s="369"/>
      <c r="M289" s="67"/>
      <c r="N289" s="366"/>
      <c r="O289" s="367"/>
      <c r="P289" s="366"/>
      <c r="Q289" s="367"/>
      <c r="R289" s="366"/>
      <c r="S289" s="367"/>
      <c r="T289" s="368"/>
      <c r="U289" s="369"/>
      <c r="V289" s="67"/>
      <c r="W289" s="68"/>
      <c r="X289" s="68"/>
      <c r="Y289" s="68"/>
    </row>
    <row r="290" spans="1:25" s="59" customFormat="1" ht="15.75" customHeight="1">
      <c r="A290" s="60"/>
      <c r="B290" s="119"/>
      <c r="C290" s="121" t="s">
        <v>388</v>
      </c>
      <c r="D290" s="370" t="s">
        <v>419</v>
      </c>
      <c r="E290" s="371"/>
      <c r="F290" s="372"/>
      <c r="G290" s="366"/>
      <c r="H290" s="367"/>
      <c r="I290" s="366"/>
      <c r="J290" s="367"/>
      <c r="K290" s="368"/>
      <c r="L290" s="369"/>
      <c r="M290" s="67"/>
      <c r="N290" s="366"/>
      <c r="O290" s="367"/>
      <c r="P290" s="366"/>
      <c r="Q290" s="367"/>
      <c r="R290" s="366"/>
      <c r="S290" s="367"/>
      <c r="T290" s="368"/>
      <c r="U290" s="369"/>
      <c r="V290" s="67"/>
      <c r="W290" s="68"/>
      <c r="X290" s="68"/>
      <c r="Y290" s="68"/>
    </row>
    <row r="291" spans="1:25" s="59" customFormat="1" ht="15.75" customHeight="1">
      <c r="A291" s="60">
        <v>12</v>
      </c>
      <c r="B291" s="119">
        <v>7</v>
      </c>
      <c r="C291" s="122" t="s">
        <v>548</v>
      </c>
      <c r="D291" s="122" t="s">
        <v>22</v>
      </c>
      <c r="E291" s="366"/>
      <c r="F291" s="367"/>
      <c r="G291" s="366"/>
      <c r="H291" s="367"/>
      <c r="I291" s="366"/>
      <c r="J291" s="367"/>
      <c r="K291" s="368"/>
      <c r="L291" s="369"/>
      <c r="M291" s="67"/>
      <c r="N291" s="366"/>
      <c r="O291" s="367"/>
      <c r="P291" s="366"/>
      <c r="Q291" s="367"/>
      <c r="R291" s="366"/>
      <c r="S291" s="367"/>
      <c r="T291" s="368"/>
      <c r="U291" s="369"/>
      <c r="V291" s="67"/>
      <c r="W291" s="68"/>
      <c r="X291" s="68"/>
      <c r="Y291" s="68"/>
    </row>
    <row r="292" spans="1:25" s="59" customFormat="1" ht="15.75" customHeight="1">
      <c r="A292" s="60">
        <v>13</v>
      </c>
      <c r="B292" s="119">
        <v>8</v>
      </c>
      <c r="C292" s="122" t="s">
        <v>549</v>
      </c>
      <c r="D292" s="122" t="s">
        <v>22</v>
      </c>
      <c r="E292" s="366"/>
      <c r="F292" s="367"/>
      <c r="G292" s="366"/>
      <c r="H292" s="367"/>
      <c r="I292" s="366"/>
      <c r="J292" s="367"/>
      <c r="K292" s="368"/>
      <c r="L292" s="369"/>
      <c r="M292" s="67"/>
      <c r="N292" s="366"/>
      <c r="O292" s="367"/>
      <c r="P292" s="366"/>
      <c r="Q292" s="367"/>
      <c r="R292" s="366"/>
      <c r="S292" s="367"/>
      <c r="T292" s="368"/>
      <c r="U292" s="369"/>
      <c r="V292" s="67"/>
      <c r="W292" s="68"/>
      <c r="X292" s="68"/>
      <c r="Y292" s="68"/>
    </row>
    <row r="293" spans="1:25" s="59" customFormat="1" ht="15.75" customHeight="1">
      <c r="A293" s="231">
        <v>14</v>
      </c>
      <c r="B293" s="119">
        <v>9</v>
      </c>
      <c r="C293" s="122" t="s">
        <v>550</v>
      </c>
      <c r="D293" s="122" t="s">
        <v>92</v>
      </c>
      <c r="E293" s="232"/>
      <c r="F293" s="233"/>
      <c r="G293" s="232"/>
      <c r="H293" s="233"/>
      <c r="I293" s="232"/>
      <c r="J293" s="233"/>
      <c r="K293" s="234"/>
      <c r="L293" s="235"/>
      <c r="M293" s="67"/>
      <c r="N293" s="232"/>
      <c r="O293" s="233"/>
      <c r="P293" s="232"/>
      <c r="Q293" s="233"/>
      <c r="R293" s="232"/>
      <c r="S293" s="233"/>
      <c r="T293" s="234"/>
      <c r="U293" s="235"/>
      <c r="V293" s="67"/>
      <c r="W293" s="236"/>
      <c r="X293" s="236"/>
      <c r="Y293" s="236"/>
    </row>
    <row r="294" spans="1:25" s="59" customFormat="1" ht="15.75" customHeight="1">
      <c r="A294" s="60">
        <v>15</v>
      </c>
      <c r="B294" s="119">
        <v>11</v>
      </c>
      <c r="C294" s="119" t="s">
        <v>551</v>
      </c>
      <c r="D294" s="122" t="s">
        <v>19</v>
      </c>
      <c r="E294" s="366"/>
      <c r="F294" s="367"/>
      <c r="G294" s="366"/>
      <c r="H294" s="367"/>
      <c r="I294" s="366"/>
      <c r="J294" s="367"/>
      <c r="K294" s="368"/>
      <c r="L294" s="369"/>
      <c r="M294" s="67"/>
      <c r="N294" s="366"/>
      <c r="O294" s="367"/>
      <c r="P294" s="366"/>
      <c r="Q294" s="367"/>
      <c r="R294" s="366"/>
      <c r="S294" s="367"/>
      <c r="T294" s="368"/>
      <c r="U294" s="369"/>
      <c r="V294" s="67"/>
      <c r="W294" s="68"/>
      <c r="X294" s="68"/>
      <c r="Y294" s="68"/>
    </row>
    <row r="295" spans="1:4" s="59" customFormat="1" ht="12.75">
      <c r="A295" s="69"/>
      <c r="C295" s="70"/>
      <c r="D295" s="70"/>
    </row>
    <row r="296" spans="1:25" s="59" customFormat="1" ht="12.75">
      <c r="A296" s="394" t="s">
        <v>172</v>
      </c>
      <c r="B296" s="395"/>
      <c r="C296" s="395"/>
      <c r="D296" s="395"/>
      <c r="E296" s="395"/>
      <c r="F296" s="395"/>
      <c r="G296" s="341" t="s">
        <v>172</v>
      </c>
      <c r="H296" s="396"/>
      <c r="I296" s="396"/>
      <c r="J296" s="396"/>
      <c r="K296" s="396"/>
      <c r="L296" s="396"/>
      <c r="M296" s="396"/>
      <c r="N296" s="396"/>
      <c r="O296" s="396"/>
      <c r="P296" s="396"/>
      <c r="Q296" s="396"/>
      <c r="R296" s="397"/>
      <c r="S296" s="354" t="s">
        <v>173</v>
      </c>
      <c r="T296" s="360"/>
      <c r="U296" s="360"/>
      <c r="V296" s="360"/>
      <c r="W296" s="360"/>
      <c r="X296" s="360"/>
      <c r="Y296" s="361"/>
    </row>
    <row r="297" spans="1:25" s="59" customFormat="1" ht="12.75">
      <c r="A297" s="60" t="s">
        <v>0</v>
      </c>
      <c r="B297" s="60" t="s">
        <v>174</v>
      </c>
      <c r="C297" s="60" t="s">
        <v>156</v>
      </c>
      <c r="D297" s="60" t="s">
        <v>157</v>
      </c>
      <c r="E297" s="353" t="s">
        <v>175</v>
      </c>
      <c r="F297" s="353"/>
      <c r="G297" s="63" t="s">
        <v>0</v>
      </c>
      <c r="H297" s="64" t="s">
        <v>174</v>
      </c>
      <c r="I297" s="354" t="s">
        <v>156</v>
      </c>
      <c r="J297" s="360"/>
      <c r="K297" s="360"/>
      <c r="L297" s="361"/>
      <c r="M297" s="391" t="s">
        <v>157</v>
      </c>
      <c r="N297" s="392"/>
      <c r="O297" s="392"/>
      <c r="P297" s="393"/>
      <c r="Q297" s="354" t="s">
        <v>175</v>
      </c>
      <c r="R297" s="361"/>
      <c r="S297" s="72"/>
      <c r="T297" s="73"/>
      <c r="U297" s="73"/>
      <c r="V297" s="57"/>
      <c r="W297" s="57"/>
      <c r="X297" s="57"/>
      <c r="Y297" s="58"/>
    </row>
    <row r="298" spans="1:25" s="59" customFormat="1" ht="15.75" customHeight="1">
      <c r="A298" s="60">
        <v>1</v>
      </c>
      <c r="B298" s="71"/>
      <c r="C298" s="74"/>
      <c r="D298" s="74"/>
      <c r="E298" s="384"/>
      <c r="F298" s="385"/>
      <c r="G298" s="247">
        <v>9</v>
      </c>
      <c r="H298" s="71"/>
      <c r="I298" s="386"/>
      <c r="J298" s="387"/>
      <c r="K298" s="387"/>
      <c r="L298" s="388"/>
      <c r="M298" s="386"/>
      <c r="N298" s="387"/>
      <c r="O298" s="387"/>
      <c r="P298" s="388"/>
      <c r="Q298" s="384"/>
      <c r="R298" s="385"/>
      <c r="S298" s="76"/>
      <c r="T298" s="77"/>
      <c r="U298" s="77"/>
      <c r="V298" s="78"/>
      <c r="W298" s="78"/>
      <c r="X298" s="78"/>
      <c r="Y298" s="79"/>
    </row>
    <row r="299" spans="1:25" s="59" customFormat="1" ht="15.75" customHeight="1">
      <c r="A299" s="60">
        <v>2</v>
      </c>
      <c r="B299" s="71"/>
      <c r="C299" s="74"/>
      <c r="D299" s="74"/>
      <c r="E299" s="384"/>
      <c r="F299" s="385"/>
      <c r="G299" s="247">
        <v>10</v>
      </c>
      <c r="H299" s="71"/>
      <c r="I299" s="386"/>
      <c r="J299" s="387"/>
      <c r="K299" s="387"/>
      <c r="L299" s="388"/>
      <c r="M299" s="386"/>
      <c r="N299" s="387"/>
      <c r="O299" s="387"/>
      <c r="P299" s="388"/>
      <c r="Q299" s="389"/>
      <c r="R299" s="390"/>
      <c r="S299" s="72"/>
      <c r="T299" s="73"/>
      <c r="U299" s="73"/>
      <c r="V299" s="57"/>
      <c r="W299" s="57"/>
      <c r="X299" s="57"/>
      <c r="Y299" s="58"/>
    </row>
    <row r="300" spans="1:25" s="59" customFormat="1" ht="15.75" customHeight="1">
      <c r="A300" s="60">
        <v>3</v>
      </c>
      <c r="B300" s="71"/>
      <c r="C300" s="74"/>
      <c r="D300" s="74"/>
      <c r="E300" s="384"/>
      <c r="F300" s="385"/>
      <c r="G300" s="247">
        <v>11</v>
      </c>
      <c r="H300" s="71"/>
      <c r="I300" s="386"/>
      <c r="J300" s="387"/>
      <c r="K300" s="387"/>
      <c r="L300" s="388"/>
      <c r="M300" s="386"/>
      <c r="N300" s="387"/>
      <c r="O300" s="387"/>
      <c r="P300" s="388"/>
      <c r="Q300" s="389"/>
      <c r="R300" s="390"/>
      <c r="S300" s="76"/>
      <c r="T300" s="77"/>
      <c r="U300" s="77"/>
      <c r="V300" s="78"/>
      <c r="W300" s="78"/>
      <c r="X300" s="78"/>
      <c r="Y300" s="79"/>
    </row>
    <row r="301" spans="1:25" s="59" customFormat="1" ht="15.75" customHeight="1">
      <c r="A301" s="60">
        <v>4</v>
      </c>
      <c r="B301" s="71"/>
      <c r="C301" s="74"/>
      <c r="D301" s="74"/>
      <c r="E301" s="384"/>
      <c r="F301" s="385"/>
      <c r="G301" s="247">
        <v>12</v>
      </c>
      <c r="H301" s="71"/>
      <c r="I301" s="386"/>
      <c r="J301" s="387"/>
      <c r="K301" s="387"/>
      <c r="L301" s="388"/>
      <c r="M301" s="386"/>
      <c r="N301" s="387"/>
      <c r="O301" s="387"/>
      <c r="P301" s="388"/>
      <c r="Q301" s="389"/>
      <c r="R301" s="390"/>
      <c r="S301" s="72"/>
      <c r="T301" s="73"/>
      <c r="U301" s="73"/>
      <c r="V301" s="57"/>
      <c r="W301" s="57"/>
      <c r="X301" s="57"/>
      <c r="Y301" s="58"/>
    </row>
    <row r="302" spans="1:25" s="59" customFormat="1" ht="15.75" customHeight="1">
      <c r="A302" s="60">
        <v>5</v>
      </c>
      <c r="B302" s="71"/>
      <c r="C302" s="74"/>
      <c r="D302" s="74"/>
      <c r="E302" s="384"/>
      <c r="F302" s="385"/>
      <c r="G302" s="247">
        <v>13</v>
      </c>
      <c r="H302" s="71"/>
      <c r="I302" s="386"/>
      <c r="J302" s="387"/>
      <c r="K302" s="387"/>
      <c r="L302" s="388"/>
      <c r="M302" s="386"/>
      <c r="N302" s="387"/>
      <c r="O302" s="387"/>
      <c r="P302" s="388"/>
      <c r="Q302" s="389"/>
      <c r="R302" s="390"/>
      <c r="S302" s="76"/>
      <c r="T302" s="77"/>
      <c r="U302" s="77"/>
      <c r="V302" s="78"/>
      <c r="W302" s="78"/>
      <c r="X302" s="78"/>
      <c r="Y302" s="79"/>
    </row>
    <row r="303" spans="1:25" s="59" customFormat="1" ht="15.75" customHeight="1">
      <c r="A303" s="60">
        <v>6</v>
      </c>
      <c r="B303" s="71"/>
      <c r="C303" s="74"/>
      <c r="D303" s="74"/>
      <c r="E303" s="384"/>
      <c r="F303" s="385"/>
      <c r="G303" s="247">
        <v>14</v>
      </c>
      <c r="H303" s="71"/>
      <c r="I303" s="386"/>
      <c r="J303" s="387"/>
      <c r="K303" s="387"/>
      <c r="L303" s="388"/>
      <c r="M303" s="386"/>
      <c r="N303" s="387"/>
      <c r="O303" s="387"/>
      <c r="P303" s="388"/>
      <c r="Q303" s="389"/>
      <c r="R303" s="390"/>
      <c r="S303" s="354" t="s">
        <v>176</v>
      </c>
      <c r="T303" s="360"/>
      <c r="U303" s="360"/>
      <c r="V303" s="360"/>
      <c r="W303" s="360"/>
      <c r="X303" s="360"/>
      <c r="Y303" s="361"/>
    </row>
    <row r="304" spans="1:25" s="59" customFormat="1" ht="15.75" customHeight="1">
      <c r="A304" s="60">
        <v>7</v>
      </c>
      <c r="B304" s="71"/>
      <c r="C304" s="74"/>
      <c r="D304" s="74"/>
      <c r="E304" s="384"/>
      <c r="F304" s="385"/>
      <c r="G304" s="247">
        <v>15</v>
      </c>
      <c r="H304" s="71"/>
      <c r="I304" s="386"/>
      <c r="J304" s="387"/>
      <c r="K304" s="387"/>
      <c r="L304" s="388"/>
      <c r="M304" s="386"/>
      <c r="N304" s="387"/>
      <c r="O304" s="387"/>
      <c r="P304" s="388"/>
      <c r="Q304" s="389"/>
      <c r="R304" s="390"/>
      <c r="S304" s="72"/>
      <c r="T304" s="73"/>
      <c r="U304" s="73"/>
      <c r="V304" s="57"/>
      <c r="W304" s="57"/>
      <c r="X304" s="57"/>
      <c r="Y304" s="58"/>
    </row>
    <row r="305" spans="1:25" s="59" customFormat="1" ht="15.75" customHeight="1">
      <c r="A305" s="60">
        <v>8</v>
      </c>
      <c r="B305" s="71"/>
      <c r="C305" s="74"/>
      <c r="D305" s="74"/>
      <c r="E305" s="384"/>
      <c r="F305" s="385"/>
      <c r="G305" s="247">
        <v>16</v>
      </c>
      <c r="H305" s="71"/>
      <c r="I305" s="386"/>
      <c r="J305" s="387"/>
      <c r="K305" s="387"/>
      <c r="L305" s="388"/>
      <c r="M305" s="386"/>
      <c r="N305" s="387"/>
      <c r="O305" s="387"/>
      <c r="P305" s="388"/>
      <c r="Q305" s="389"/>
      <c r="R305" s="390"/>
      <c r="S305" s="76"/>
      <c r="T305" s="77"/>
      <c r="U305" s="77"/>
      <c r="V305" s="78"/>
      <c r="W305" s="78"/>
      <c r="X305" s="78"/>
      <c r="Y305" s="79"/>
    </row>
    <row r="308" spans="1:25" s="59" customFormat="1" ht="20.25">
      <c r="A308" s="336" t="s">
        <v>147</v>
      </c>
      <c r="B308" s="337"/>
      <c r="C308" s="337"/>
      <c r="D308" s="337"/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  <c r="P308" s="337"/>
      <c r="Q308" s="337"/>
      <c r="R308" s="337"/>
      <c r="S308" s="337"/>
      <c r="T308" s="337"/>
      <c r="U308" s="337"/>
      <c r="V308" s="337"/>
      <c r="W308" s="337"/>
      <c r="X308" s="337"/>
      <c r="Y308" s="338"/>
    </row>
    <row r="309" spans="1:25" s="59" customFormat="1" ht="15.75" customHeight="1">
      <c r="A309" s="339" t="s">
        <v>148</v>
      </c>
      <c r="B309" s="340"/>
      <c r="C309" s="341" t="s">
        <v>177</v>
      </c>
      <c r="D309" s="342"/>
      <c r="E309" s="339" t="s">
        <v>149</v>
      </c>
      <c r="F309" s="343"/>
      <c r="G309" s="340"/>
      <c r="H309" s="341" t="s">
        <v>360</v>
      </c>
      <c r="I309" s="344"/>
      <c r="J309" s="345"/>
      <c r="K309" s="345"/>
      <c r="L309" s="346"/>
      <c r="M309" s="347" t="s">
        <v>150</v>
      </c>
      <c r="N309" s="348"/>
      <c r="O309" s="349"/>
      <c r="P309" s="350" t="s">
        <v>368</v>
      </c>
      <c r="Q309" s="351"/>
      <c r="R309" s="351"/>
      <c r="S309" s="351"/>
      <c r="T309" s="351"/>
      <c r="U309" s="351"/>
      <c r="V309" s="351"/>
      <c r="W309" s="351"/>
      <c r="X309" s="351"/>
      <c r="Y309" s="352"/>
    </row>
    <row r="310" spans="1:25" s="59" customFormat="1" ht="15.75" customHeight="1">
      <c r="A310" s="339" t="s">
        <v>179</v>
      </c>
      <c r="B310" s="340"/>
      <c r="C310" s="377" t="s">
        <v>190</v>
      </c>
      <c r="D310" s="378"/>
      <c r="E310" s="339" t="s">
        <v>151</v>
      </c>
      <c r="F310" s="343"/>
      <c r="G310" s="340"/>
      <c r="H310" s="379" t="s">
        <v>201</v>
      </c>
      <c r="I310" s="380"/>
      <c r="J310" s="339" t="s">
        <v>152</v>
      </c>
      <c r="K310" s="343"/>
      <c r="L310" s="340"/>
      <c r="M310" s="381"/>
      <c r="N310" s="375"/>
      <c r="O310" s="376"/>
      <c r="P310" s="373" t="s">
        <v>153</v>
      </c>
      <c r="Q310" s="374"/>
      <c r="R310" s="375"/>
      <c r="S310" s="375"/>
      <c r="T310" s="375" t="e">
        <f>VLOOKUP(I308,eventslist,4,FALSE)</f>
        <v>#NAME?</v>
      </c>
      <c r="U310" s="375"/>
      <c r="V310" s="375" t="e">
        <f>VLOOKUP(K308,eventslist,4,FALSE)</f>
        <v>#NAME?</v>
      </c>
      <c r="W310" s="375"/>
      <c r="X310" s="375" t="e">
        <f>VLOOKUP(M308,eventslist,4,FALSE)</f>
        <v>#NAME?</v>
      </c>
      <c r="Y310" s="376"/>
    </row>
    <row r="311" spans="1:25" s="59" customFormat="1" ht="31.5" customHeight="1">
      <c r="A311" s="60" t="s">
        <v>154</v>
      </c>
      <c r="B311" s="60" t="s">
        <v>155</v>
      </c>
      <c r="C311" s="61" t="s">
        <v>156</v>
      </c>
      <c r="D311" s="62" t="s">
        <v>157</v>
      </c>
      <c r="E311" s="362" t="s">
        <v>158</v>
      </c>
      <c r="F311" s="357"/>
      <c r="G311" s="357" t="s">
        <v>159</v>
      </c>
      <c r="H311" s="357"/>
      <c r="I311" s="357" t="s">
        <v>160</v>
      </c>
      <c r="J311" s="357"/>
      <c r="K311" s="357" t="s">
        <v>161</v>
      </c>
      <c r="L311" s="357"/>
      <c r="M311" s="355" t="s">
        <v>162</v>
      </c>
      <c r="N311" s="357" t="s">
        <v>163</v>
      </c>
      <c r="O311" s="357"/>
      <c r="P311" s="357" t="s">
        <v>164</v>
      </c>
      <c r="Q311" s="357"/>
      <c r="R311" s="357" t="s">
        <v>165</v>
      </c>
      <c r="S311" s="357"/>
      <c r="T311" s="357" t="s">
        <v>166</v>
      </c>
      <c r="U311" s="358"/>
      <c r="V311" s="359" t="s">
        <v>167</v>
      </c>
      <c r="W311" s="354" t="s">
        <v>168</v>
      </c>
      <c r="X311" s="360"/>
      <c r="Y311" s="361"/>
    </row>
    <row r="312" spans="1:25" s="59" customFormat="1" ht="12.75">
      <c r="A312" s="63"/>
      <c r="B312" s="63"/>
      <c r="C312" s="120" t="s">
        <v>334</v>
      </c>
      <c r="D312" s="370" t="s">
        <v>310</v>
      </c>
      <c r="E312" s="371"/>
      <c r="F312" s="372"/>
      <c r="G312" s="353" t="s">
        <v>169</v>
      </c>
      <c r="H312" s="353"/>
      <c r="I312" s="353" t="s">
        <v>169</v>
      </c>
      <c r="J312" s="353"/>
      <c r="K312" s="353" t="s">
        <v>169</v>
      </c>
      <c r="L312" s="353"/>
      <c r="M312" s="356"/>
      <c r="N312" s="353" t="s">
        <v>169</v>
      </c>
      <c r="O312" s="353"/>
      <c r="P312" s="353" t="s">
        <v>169</v>
      </c>
      <c r="Q312" s="353"/>
      <c r="R312" s="353" t="s">
        <v>169</v>
      </c>
      <c r="S312" s="353"/>
      <c r="T312" s="353" t="s">
        <v>169</v>
      </c>
      <c r="U312" s="354"/>
      <c r="V312" s="355"/>
      <c r="W312" s="60"/>
      <c r="X312" s="60" t="s">
        <v>170</v>
      </c>
      <c r="Y312" s="60" t="s">
        <v>171</v>
      </c>
    </row>
    <row r="313" spans="1:25" s="59" customFormat="1" ht="15.75" customHeight="1">
      <c r="A313" s="63">
        <v>1</v>
      </c>
      <c r="B313" s="119">
        <v>1</v>
      </c>
      <c r="C313" s="122" t="s">
        <v>564</v>
      </c>
      <c r="D313" s="122" t="s">
        <v>20</v>
      </c>
      <c r="E313" s="366"/>
      <c r="F313" s="367"/>
      <c r="G313" s="366"/>
      <c r="H313" s="367"/>
      <c r="I313" s="366"/>
      <c r="J313" s="367"/>
      <c r="K313" s="368"/>
      <c r="L313" s="369"/>
      <c r="M313" s="67"/>
      <c r="N313" s="366"/>
      <c r="O313" s="367"/>
      <c r="P313" s="366"/>
      <c r="Q313" s="367"/>
      <c r="R313" s="366"/>
      <c r="S313" s="367"/>
      <c r="T313" s="368"/>
      <c r="U313" s="369"/>
      <c r="V313" s="67"/>
      <c r="W313" s="68"/>
      <c r="X313" s="68"/>
      <c r="Y313" s="68"/>
    </row>
    <row r="314" spans="1:25" s="59" customFormat="1" ht="15.75" customHeight="1">
      <c r="A314" s="60">
        <v>2</v>
      </c>
      <c r="B314" s="119">
        <v>3</v>
      </c>
      <c r="C314" s="122" t="s">
        <v>466</v>
      </c>
      <c r="D314" s="122" t="s">
        <v>16</v>
      </c>
      <c r="E314" s="366"/>
      <c r="F314" s="367"/>
      <c r="G314" s="366"/>
      <c r="H314" s="367"/>
      <c r="I314" s="366"/>
      <c r="J314" s="367"/>
      <c r="K314" s="368"/>
      <c r="L314" s="369"/>
      <c r="M314" s="67"/>
      <c r="N314" s="366"/>
      <c r="O314" s="367"/>
      <c r="P314" s="366"/>
      <c r="Q314" s="367"/>
      <c r="R314" s="366"/>
      <c r="S314" s="367"/>
      <c r="T314" s="368"/>
      <c r="U314" s="369"/>
      <c r="V314" s="67"/>
      <c r="W314" s="68"/>
      <c r="X314" s="68"/>
      <c r="Y314" s="68"/>
    </row>
    <row r="315" spans="1:25" s="59" customFormat="1" ht="15.75" customHeight="1">
      <c r="A315" s="60">
        <v>3</v>
      </c>
      <c r="B315" s="119">
        <v>4</v>
      </c>
      <c r="C315" s="122" t="s">
        <v>565</v>
      </c>
      <c r="D315" s="122" t="s">
        <v>16</v>
      </c>
      <c r="E315" s="366"/>
      <c r="F315" s="367"/>
      <c r="G315" s="366"/>
      <c r="H315" s="367"/>
      <c r="I315" s="366"/>
      <c r="J315" s="367"/>
      <c r="K315" s="368"/>
      <c r="L315" s="369"/>
      <c r="M315" s="67"/>
      <c r="N315" s="366"/>
      <c r="O315" s="367"/>
      <c r="P315" s="366"/>
      <c r="Q315" s="367"/>
      <c r="R315" s="366"/>
      <c r="S315" s="367"/>
      <c r="T315" s="368"/>
      <c r="U315" s="369"/>
      <c r="V315" s="67"/>
      <c r="W315" s="68"/>
      <c r="X315" s="68"/>
      <c r="Y315" s="68"/>
    </row>
    <row r="316" spans="1:25" s="59" customFormat="1" ht="15.75" customHeight="1">
      <c r="A316" s="60">
        <v>4</v>
      </c>
      <c r="B316" s="119">
        <v>5</v>
      </c>
      <c r="C316" s="122" t="s">
        <v>566</v>
      </c>
      <c r="D316" s="122" t="s">
        <v>18</v>
      </c>
      <c r="E316" s="366"/>
      <c r="F316" s="367"/>
      <c r="G316" s="366"/>
      <c r="H316" s="367"/>
      <c r="I316" s="366"/>
      <c r="J316" s="367"/>
      <c r="K316" s="368"/>
      <c r="L316" s="369"/>
      <c r="M316" s="67"/>
      <c r="N316" s="366"/>
      <c r="O316" s="367"/>
      <c r="P316" s="366"/>
      <c r="Q316" s="367"/>
      <c r="R316" s="366"/>
      <c r="S316" s="367"/>
      <c r="T316" s="368"/>
      <c r="U316" s="369"/>
      <c r="V316" s="67"/>
      <c r="W316" s="68"/>
      <c r="X316" s="68"/>
      <c r="Y316" s="68"/>
    </row>
    <row r="317" spans="1:25" s="59" customFormat="1" ht="15.75" customHeight="1">
      <c r="A317" s="60">
        <v>5</v>
      </c>
      <c r="B317" s="119">
        <v>6</v>
      </c>
      <c r="C317" s="122" t="s">
        <v>567</v>
      </c>
      <c r="D317" s="122" t="s">
        <v>18</v>
      </c>
      <c r="E317" s="366"/>
      <c r="F317" s="367"/>
      <c r="G317" s="366"/>
      <c r="H317" s="367"/>
      <c r="I317" s="366"/>
      <c r="J317" s="367"/>
      <c r="K317" s="368"/>
      <c r="L317" s="369"/>
      <c r="M317" s="67"/>
      <c r="N317" s="366"/>
      <c r="O317" s="367"/>
      <c r="P317" s="366"/>
      <c r="Q317" s="367"/>
      <c r="R317" s="366"/>
      <c r="S317" s="367"/>
      <c r="T317" s="368"/>
      <c r="U317" s="369"/>
      <c r="V317" s="67"/>
      <c r="W317" s="68"/>
      <c r="X317" s="68"/>
      <c r="Y317" s="68"/>
    </row>
    <row r="318" spans="1:25" s="59" customFormat="1" ht="15.75" customHeight="1">
      <c r="A318" s="60">
        <v>6</v>
      </c>
      <c r="B318" s="119">
        <v>7</v>
      </c>
      <c r="C318" s="122" t="s">
        <v>568</v>
      </c>
      <c r="D318" s="122" t="s">
        <v>22</v>
      </c>
      <c r="E318" s="366"/>
      <c r="F318" s="367"/>
      <c r="G318" s="366"/>
      <c r="H318" s="367"/>
      <c r="I318" s="366"/>
      <c r="J318" s="367"/>
      <c r="K318" s="368"/>
      <c r="L318" s="369"/>
      <c r="M318" s="67"/>
      <c r="N318" s="366"/>
      <c r="O318" s="367"/>
      <c r="P318" s="366"/>
      <c r="Q318" s="367"/>
      <c r="R318" s="366"/>
      <c r="S318" s="367"/>
      <c r="T318" s="368"/>
      <c r="U318" s="369"/>
      <c r="V318" s="67"/>
      <c r="W318" s="68"/>
      <c r="X318" s="68"/>
      <c r="Y318" s="68"/>
    </row>
    <row r="319" spans="1:25" s="59" customFormat="1" ht="15.75" customHeight="1">
      <c r="A319" s="60">
        <v>7</v>
      </c>
      <c r="B319" s="119">
        <v>9</v>
      </c>
      <c r="C319" s="122" t="s">
        <v>570</v>
      </c>
      <c r="D319" s="122" t="s">
        <v>92</v>
      </c>
      <c r="E319" s="366"/>
      <c r="F319" s="367"/>
      <c r="G319" s="366"/>
      <c r="H319" s="367"/>
      <c r="I319" s="366"/>
      <c r="J319" s="367"/>
      <c r="K319" s="368"/>
      <c r="L319" s="369"/>
      <c r="M319" s="67"/>
      <c r="N319" s="366"/>
      <c r="O319" s="367"/>
      <c r="P319" s="366"/>
      <c r="Q319" s="367"/>
      <c r="R319" s="366"/>
      <c r="S319" s="367"/>
      <c r="T319" s="368"/>
      <c r="U319" s="369"/>
      <c r="V319" s="67"/>
      <c r="W319" s="68"/>
      <c r="X319" s="68"/>
      <c r="Y319" s="68"/>
    </row>
    <row r="320" spans="1:25" s="59" customFormat="1" ht="15.75" customHeight="1">
      <c r="A320" s="60">
        <v>8</v>
      </c>
      <c r="B320" s="119">
        <v>10</v>
      </c>
      <c r="C320" s="122" t="s">
        <v>571</v>
      </c>
      <c r="D320" s="122" t="s">
        <v>92</v>
      </c>
      <c r="E320" s="366"/>
      <c r="F320" s="367"/>
      <c r="G320" s="366"/>
      <c r="H320" s="367"/>
      <c r="I320" s="366"/>
      <c r="J320" s="367"/>
      <c r="K320" s="368"/>
      <c r="L320" s="369"/>
      <c r="M320" s="67"/>
      <c r="N320" s="366"/>
      <c r="O320" s="367"/>
      <c r="P320" s="366"/>
      <c r="Q320" s="367"/>
      <c r="R320" s="366"/>
      <c r="S320" s="367"/>
      <c r="T320" s="368"/>
      <c r="U320" s="369"/>
      <c r="V320" s="67"/>
      <c r="W320" s="68"/>
      <c r="X320" s="68"/>
      <c r="Y320" s="68"/>
    </row>
    <row r="321" spans="1:25" s="59" customFormat="1" ht="15.75" customHeight="1">
      <c r="A321" s="60">
        <v>9</v>
      </c>
      <c r="B321" s="119">
        <v>8</v>
      </c>
      <c r="C321" s="122" t="s">
        <v>569</v>
      </c>
      <c r="D321" s="119" t="s">
        <v>22</v>
      </c>
      <c r="E321" s="366"/>
      <c r="F321" s="367"/>
      <c r="G321" s="366"/>
      <c r="H321" s="367"/>
      <c r="I321" s="366"/>
      <c r="J321" s="367"/>
      <c r="K321" s="368"/>
      <c r="L321" s="369"/>
      <c r="M321" s="67"/>
      <c r="N321" s="366"/>
      <c r="O321" s="367"/>
      <c r="P321" s="366"/>
      <c r="Q321" s="367"/>
      <c r="R321" s="366"/>
      <c r="S321" s="367"/>
      <c r="T321" s="368"/>
      <c r="U321" s="369"/>
      <c r="V321" s="67"/>
      <c r="W321" s="68"/>
      <c r="X321" s="68"/>
      <c r="Y321" s="68"/>
    </row>
    <row r="322" spans="1:25" s="59" customFormat="1" ht="15.75" customHeight="1">
      <c r="A322" s="60">
        <v>10</v>
      </c>
      <c r="B322" s="119">
        <v>11</v>
      </c>
      <c r="C322" s="122" t="s">
        <v>572</v>
      </c>
      <c r="D322" s="119" t="s">
        <v>19</v>
      </c>
      <c r="E322" s="366"/>
      <c r="F322" s="367"/>
      <c r="G322" s="366"/>
      <c r="H322" s="367"/>
      <c r="I322" s="366"/>
      <c r="J322" s="367"/>
      <c r="K322" s="368"/>
      <c r="L322" s="369"/>
      <c r="M322" s="67"/>
      <c r="N322" s="366"/>
      <c r="O322" s="367"/>
      <c r="P322" s="366"/>
      <c r="Q322" s="367"/>
      <c r="R322" s="366"/>
      <c r="S322" s="367"/>
      <c r="T322" s="368"/>
      <c r="U322" s="369"/>
      <c r="V322" s="67"/>
      <c r="W322" s="68"/>
      <c r="X322" s="68"/>
      <c r="Y322" s="68"/>
    </row>
    <row r="323" spans="1:25" s="59" customFormat="1" ht="15.75" customHeight="1">
      <c r="A323" s="60"/>
      <c r="B323" s="119"/>
      <c r="C323" s="119"/>
      <c r="D323" s="119"/>
      <c r="E323" s="366"/>
      <c r="F323" s="367"/>
      <c r="G323" s="366"/>
      <c r="H323" s="367"/>
      <c r="I323" s="366"/>
      <c r="J323" s="367"/>
      <c r="K323" s="368"/>
      <c r="L323" s="369"/>
      <c r="M323" s="67"/>
      <c r="N323" s="366"/>
      <c r="O323" s="367"/>
      <c r="P323" s="366"/>
      <c r="Q323" s="367"/>
      <c r="R323" s="366"/>
      <c r="S323" s="367"/>
      <c r="T323" s="368"/>
      <c r="U323" s="369"/>
      <c r="V323" s="67"/>
      <c r="W323" s="68"/>
      <c r="X323" s="68"/>
      <c r="Y323" s="68"/>
    </row>
    <row r="324" spans="1:25" s="59" customFormat="1" ht="15.75" customHeight="1">
      <c r="A324" s="60"/>
      <c r="B324" s="119"/>
      <c r="C324" s="163"/>
      <c r="D324" s="119"/>
      <c r="E324" s="366"/>
      <c r="F324" s="367"/>
      <c r="G324" s="366"/>
      <c r="H324" s="367"/>
      <c r="I324" s="366"/>
      <c r="J324" s="367"/>
      <c r="K324" s="368"/>
      <c r="L324" s="369"/>
      <c r="M324" s="67"/>
      <c r="N324" s="366"/>
      <c r="O324" s="367"/>
      <c r="P324" s="366"/>
      <c r="Q324" s="367"/>
      <c r="R324" s="366"/>
      <c r="S324" s="367"/>
      <c r="T324" s="368"/>
      <c r="U324" s="369"/>
      <c r="V324" s="67"/>
      <c r="W324" s="68"/>
      <c r="X324" s="68"/>
      <c r="Y324" s="68"/>
    </row>
    <row r="325" spans="1:25" s="59" customFormat="1" ht="15.75" customHeight="1">
      <c r="A325" s="60"/>
      <c r="B325" s="119"/>
      <c r="C325" s="119"/>
      <c r="D325" s="119"/>
      <c r="E325" s="366"/>
      <c r="F325" s="367"/>
      <c r="G325" s="366"/>
      <c r="H325" s="367"/>
      <c r="I325" s="366"/>
      <c r="J325" s="367"/>
      <c r="K325" s="368"/>
      <c r="L325" s="369"/>
      <c r="M325" s="67"/>
      <c r="N325" s="366"/>
      <c r="O325" s="367"/>
      <c r="P325" s="366"/>
      <c r="Q325" s="367"/>
      <c r="R325" s="366"/>
      <c r="S325" s="367"/>
      <c r="T325" s="368"/>
      <c r="U325" s="369"/>
      <c r="V325" s="67"/>
      <c r="W325" s="68"/>
      <c r="X325" s="68"/>
      <c r="Y325" s="68"/>
    </row>
    <row r="326" spans="1:25" s="59" customFormat="1" ht="15.75" customHeight="1">
      <c r="A326" s="60"/>
      <c r="B326" s="119"/>
      <c r="C326" s="119"/>
      <c r="D326" s="119"/>
      <c r="E326" s="366"/>
      <c r="F326" s="367"/>
      <c r="G326" s="366"/>
      <c r="H326" s="367"/>
      <c r="I326" s="366"/>
      <c r="J326" s="367"/>
      <c r="K326" s="368"/>
      <c r="L326" s="369"/>
      <c r="M326" s="67"/>
      <c r="N326" s="366"/>
      <c r="O326" s="367"/>
      <c r="P326" s="366"/>
      <c r="Q326" s="367"/>
      <c r="R326" s="366"/>
      <c r="S326" s="367"/>
      <c r="T326" s="368"/>
      <c r="U326" s="369"/>
      <c r="V326" s="67"/>
      <c r="W326" s="68"/>
      <c r="X326" s="68"/>
      <c r="Y326" s="68"/>
    </row>
    <row r="327" spans="1:4" s="59" customFormat="1" ht="12.75">
      <c r="A327" s="69"/>
      <c r="C327" s="70"/>
      <c r="D327" s="70"/>
    </row>
    <row r="328" spans="1:25" s="59" customFormat="1" ht="12.75">
      <c r="A328" s="394" t="s">
        <v>172</v>
      </c>
      <c r="B328" s="395"/>
      <c r="C328" s="395"/>
      <c r="D328" s="395"/>
      <c r="E328" s="395"/>
      <c r="F328" s="395"/>
      <c r="G328" s="341" t="s">
        <v>172</v>
      </c>
      <c r="H328" s="396"/>
      <c r="I328" s="396"/>
      <c r="J328" s="396"/>
      <c r="K328" s="396"/>
      <c r="L328" s="396"/>
      <c r="M328" s="396"/>
      <c r="N328" s="396"/>
      <c r="O328" s="396"/>
      <c r="P328" s="396"/>
      <c r="Q328" s="396"/>
      <c r="R328" s="397"/>
      <c r="S328" s="354" t="s">
        <v>173</v>
      </c>
      <c r="T328" s="360"/>
      <c r="U328" s="360"/>
      <c r="V328" s="360"/>
      <c r="W328" s="360"/>
      <c r="X328" s="360"/>
      <c r="Y328" s="361"/>
    </row>
    <row r="329" spans="1:25" s="59" customFormat="1" ht="12.75">
      <c r="A329" s="60" t="s">
        <v>0</v>
      </c>
      <c r="B329" s="60" t="s">
        <v>174</v>
      </c>
      <c r="C329" s="60" t="s">
        <v>156</v>
      </c>
      <c r="D329" s="60" t="s">
        <v>157</v>
      </c>
      <c r="E329" s="353" t="s">
        <v>175</v>
      </c>
      <c r="F329" s="353"/>
      <c r="G329" s="63" t="s">
        <v>0</v>
      </c>
      <c r="H329" s="64" t="s">
        <v>174</v>
      </c>
      <c r="I329" s="354" t="s">
        <v>156</v>
      </c>
      <c r="J329" s="360"/>
      <c r="K329" s="360"/>
      <c r="L329" s="361"/>
      <c r="M329" s="391" t="s">
        <v>157</v>
      </c>
      <c r="N329" s="392"/>
      <c r="O329" s="392"/>
      <c r="P329" s="393"/>
      <c r="Q329" s="354" t="s">
        <v>175</v>
      </c>
      <c r="R329" s="361"/>
      <c r="S329" s="72"/>
      <c r="T329" s="73"/>
      <c r="U329" s="73"/>
      <c r="V329" s="57"/>
      <c r="W329" s="57"/>
      <c r="X329" s="57"/>
      <c r="Y329" s="58"/>
    </row>
    <row r="330" spans="1:25" s="59" customFormat="1" ht="15.75" customHeight="1">
      <c r="A330" s="60">
        <v>1</v>
      </c>
      <c r="B330" s="71"/>
      <c r="C330" s="74"/>
      <c r="D330" s="74"/>
      <c r="E330" s="384"/>
      <c r="F330" s="385"/>
      <c r="G330" s="247">
        <v>9</v>
      </c>
      <c r="H330" s="71"/>
      <c r="I330" s="386"/>
      <c r="J330" s="387"/>
      <c r="K330" s="387"/>
      <c r="L330" s="388"/>
      <c r="M330" s="386"/>
      <c r="N330" s="387"/>
      <c r="O330" s="387"/>
      <c r="P330" s="388"/>
      <c r="Q330" s="384"/>
      <c r="R330" s="385"/>
      <c r="S330" s="76"/>
      <c r="T330" s="77"/>
      <c r="U330" s="77"/>
      <c r="V330" s="78"/>
      <c r="W330" s="78"/>
      <c r="X330" s="78"/>
      <c r="Y330" s="79"/>
    </row>
    <row r="331" spans="1:25" s="59" customFormat="1" ht="15.75" customHeight="1">
      <c r="A331" s="60">
        <v>2</v>
      </c>
      <c r="B331" s="71"/>
      <c r="C331" s="74"/>
      <c r="D331" s="74"/>
      <c r="E331" s="384"/>
      <c r="F331" s="385"/>
      <c r="G331" s="247">
        <v>10</v>
      </c>
      <c r="H331" s="71"/>
      <c r="I331" s="386"/>
      <c r="J331" s="387"/>
      <c r="K331" s="387"/>
      <c r="L331" s="388"/>
      <c r="M331" s="386"/>
      <c r="N331" s="387"/>
      <c r="O331" s="387"/>
      <c r="P331" s="388"/>
      <c r="Q331" s="389"/>
      <c r="R331" s="390"/>
      <c r="S331" s="72"/>
      <c r="T331" s="73"/>
      <c r="U331" s="73"/>
      <c r="V331" s="57"/>
      <c r="W331" s="57"/>
      <c r="X331" s="57"/>
      <c r="Y331" s="58"/>
    </row>
    <row r="332" spans="1:25" s="59" customFormat="1" ht="15.75" customHeight="1">
      <c r="A332" s="60">
        <v>3</v>
      </c>
      <c r="B332" s="71"/>
      <c r="C332" s="74"/>
      <c r="D332" s="74"/>
      <c r="E332" s="384"/>
      <c r="F332" s="385"/>
      <c r="G332" s="247">
        <v>11</v>
      </c>
      <c r="H332" s="71"/>
      <c r="I332" s="386"/>
      <c r="J332" s="387"/>
      <c r="K332" s="387"/>
      <c r="L332" s="388"/>
      <c r="M332" s="386"/>
      <c r="N332" s="387"/>
      <c r="O332" s="387"/>
      <c r="P332" s="388"/>
      <c r="Q332" s="389"/>
      <c r="R332" s="390"/>
      <c r="S332" s="76"/>
      <c r="T332" s="77"/>
      <c r="U332" s="77"/>
      <c r="V332" s="78"/>
      <c r="W332" s="78"/>
      <c r="X332" s="78"/>
      <c r="Y332" s="79"/>
    </row>
    <row r="333" spans="1:25" s="59" customFormat="1" ht="15.75" customHeight="1">
      <c r="A333" s="60">
        <v>4</v>
      </c>
      <c r="B333" s="71"/>
      <c r="C333" s="74"/>
      <c r="D333" s="74"/>
      <c r="E333" s="384"/>
      <c r="F333" s="385"/>
      <c r="G333" s="247">
        <v>12</v>
      </c>
      <c r="H333" s="71"/>
      <c r="I333" s="386"/>
      <c r="J333" s="387"/>
      <c r="K333" s="387"/>
      <c r="L333" s="388"/>
      <c r="M333" s="386"/>
      <c r="N333" s="387"/>
      <c r="O333" s="387"/>
      <c r="P333" s="388"/>
      <c r="Q333" s="389"/>
      <c r="R333" s="390"/>
      <c r="S333" s="72"/>
      <c r="T333" s="73"/>
      <c r="U333" s="73"/>
      <c r="V333" s="57"/>
      <c r="W333" s="57"/>
      <c r="X333" s="57"/>
      <c r="Y333" s="58"/>
    </row>
    <row r="334" spans="1:25" s="59" customFormat="1" ht="15.75" customHeight="1">
      <c r="A334" s="60">
        <v>5</v>
      </c>
      <c r="B334" s="71"/>
      <c r="C334" s="74"/>
      <c r="D334" s="74"/>
      <c r="E334" s="384"/>
      <c r="F334" s="385"/>
      <c r="G334" s="247">
        <v>13</v>
      </c>
      <c r="H334" s="71"/>
      <c r="I334" s="386"/>
      <c r="J334" s="387"/>
      <c r="K334" s="387"/>
      <c r="L334" s="388"/>
      <c r="M334" s="386"/>
      <c r="N334" s="387"/>
      <c r="O334" s="387"/>
      <c r="P334" s="388"/>
      <c r="Q334" s="389"/>
      <c r="R334" s="390"/>
      <c r="S334" s="76"/>
      <c r="T334" s="77"/>
      <c r="U334" s="77"/>
      <c r="V334" s="78"/>
      <c r="W334" s="78"/>
      <c r="X334" s="78"/>
      <c r="Y334" s="79"/>
    </row>
    <row r="335" spans="1:25" s="59" customFormat="1" ht="15.75" customHeight="1">
      <c r="A335" s="60">
        <v>6</v>
      </c>
      <c r="B335" s="71"/>
      <c r="C335" s="74"/>
      <c r="D335" s="74"/>
      <c r="E335" s="384"/>
      <c r="F335" s="385"/>
      <c r="G335" s="247">
        <v>14</v>
      </c>
      <c r="H335" s="71"/>
      <c r="I335" s="386"/>
      <c r="J335" s="387"/>
      <c r="K335" s="387"/>
      <c r="L335" s="388"/>
      <c r="M335" s="386"/>
      <c r="N335" s="387"/>
      <c r="O335" s="387"/>
      <c r="P335" s="388"/>
      <c r="Q335" s="389"/>
      <c r="R335" s="390"/>
      <c r="S335" s="354" t="s">
        <v>176</v>
      </c>
      <c r="T335" s="360"/>
      <c r="U335" s="360"/>
      <c r="V335" s="360"/>
      <c r="W335" s="360"/>
      <c r="X335" s="360"/>
      <c r="Y335" s="361"/>
    </row>
    <row r="336" spans="1:25" s="59" customFormat="1" ht="15.75" customHeight="1">
      <c r="A336" s="60">
        <v>7</v>
      </c>
      <c r="B336" s="71"/>
      <c r="C336" s="74"/>
      <c r="D336" s="74"/>
      <c r="E336" s="384"/>
      <c r="F336" s="385"/>
      <c r="G336" s="247">
        <v>15</v>
      </c>
      <c r="H336" s="71"/>
      <c r="I336" s="386"/>
      <c r="J336" s="387"/>
      <c r="K336" s="387"/>
      <c r="L336" s="388"/>
      <c r="M336" s="386"/>
      <c r="N336" s="387"/>
      <c r="O336" s="387"/>
      <c r="P336" s="388"/>
      <c r="Q336" s="389"/>
      <c r="R336" s="390"/>
      <c r="S336" s="72"/>
      <c r="T336" s="73"/>
      <c r="U336" s="73"/>
      <c r="V336" s="57"/>
      <c r="W336" s="57"/>
      <c r="X336" s="57"/>
      <c r="Y336" s="58"/>
    </row>
    <row r="337" spans="1:25" s="59" customFormat="1" ht="15.75" customHeight="1">
      <c r="A337" s="60">
        <v>8</v>
      </c>
      <c r="B337" s="71"/>
      <c r="C337" s="74"/>
      <c r="D337" s="74"/>
      <c r="E337" s="384"/>
      <c r="F337" s="385"/>
      <c r="G337" s="247">
        <v>16</v>
      </c>
      <c r="H337" s="71"/>
      <c r="I337" s="386"/>
      <c r="J337" s="387"/>
      <c r="K337" s="387"/>
      <c r="L337" s="388"/>
      <c r="M337" s="386"/>
      <c r="N337" s="387"/>
      <c r="O337" s="387"/>
      <c r="P337" s="388"/>
      <c r="Q337" s="389"/>
      <c r="R337" s="390"/>
      <c r="S337" s="76"/>
      <c r="T337" s="77"/>
      <c r="U337" s="77"/>
      <c r="V337" s="78"/>
      <c r="W337" s="78"/>
      <c r="X337" s="78"/>
      <c r="Y337" s="79"/>
    </row>
    <row r="340" spans="1:25" s="59" customFormat="1" ht="20.25">
      <c r="A340" s="336" t="s">
        <v>147</v>
      </c>
      <c r="B340" s="337"/>
      <c r="C340" s="337"/>
      <c r="D340" s="337"/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8"/>
    </row>
    <row r="341" spans="1:25" s="59" customFormat="1" ht="15.75" customHeight="1">
      <c r="A341" s="339" t="s">
        <v>148</v>
      </c>
      <c r="B341" s="340"/>
      <c r="C341" s="341" t="s">
        <v>177</v>
      </c>
      <c r="D341" s="342"/>
      <c r="E341" s="339" t="s">
        <v>149</v>
      </c>
      <c r="F341" s="343"/>
      <c r="G341" s="340"/>
      <c r="H341" s="341" t="s">
        <v>360</v>
      </c>
      <c r="I341" s="344"/>
      <c r="J341" s="345"/>
      <c r="K341" s="345"/>
      <c r="L341" s="346"/>
      <c r="M341" s="347" t="s">
        <v>150</v>
      </c>
      <c r="N341" s="348"/>
      <c r="O341" s="349"/>
      <c r="P341" s="350" t="s">
        <v>368</v>
      </c>
      <c r="Q341" s="351"/>
      <c r="R341" s="351"/>
      <c r="S341" s="351"/>
      <c r="T341" s="351"/>
      <c r="U341" s="351"/>
      <c r="V341" s="351"/>
      <c r="W341" s="351"/>
      <c r="X341" s="351"/>
      <c r="Y341" s="352"/>
    </row>
    <row r="342" spans="1:25" s="59" customFormat="1" ht="15.75" customHeight="1">
      <c r="A342" s="339" t="s">
        <v>179</v>
      </c>
      <c r="B342" s="340"/>
      <c r="C342" s="377" t="s">
        <v>188</v>
      </c>
      <c r="D342" s="378"/>
      <c r="E342" s="339" t="s">
        <v>151</v>
      </c>
      <c r="F342" s="343"/>
      <c r="G342" s="340"/>
      <c r="H342" s="379" t="s">
        <v>201</v>
      </c>
      <c r="I342" s="380"/>
      <c r="J342" s="339" t="s">
        <v>152</v>
      </c>
      <c r="K342" s="343"/>
      <c r="L342" s="340"/>
      <c r="M342" s="381"/>
      <c r="N342" s="375"/>
      <c r="O342" s="376"/>
      <c r="P342" s="373" t="s">
        <v>153</v>
      </c>
      <c r="Q342" s="374"/>
      <c r="R342" s="375"/>
      <c r="S342" s="375"/>
      <c r="T342" s="375" t="e">
        <f>VLOOKUP(I340,eventslist,4,FALSE)</f>
        <v>#NAME?</v>
      </c>
      <c r="U342" s="375"/>
      <c r="V342" s="375" t="e">
        <f>VLOOKUP(K340,eventslist,4,FALSE)</f>
        <v>#NAME?</v>
      </c>
      <c r="W342" s="375"/>
      <c r="X342" s="375" t="e">
        <f>VLOOKUP(M340,eventslist,4,FALSE)</f>
        <v>#NAME?</v>
      </c>
      <c r="Y342" s="376"/>
    </row>
    <row r="343" spans="1:25" s="59" customFormat="1" ht="31.5" customHeight="1">
      <c r="A343" s="60" t="s">
        <v>154</v>
      </c>
      <c r="B343" s="60" t="s">
        <v>155</v>
      </c>
      <c r="C343" s="61" t="s">
        <v>156</v>
      </c>
      <c r="D343" s="62" t="s">
        <v>157</v>
      </c>
      <c r="E343" s="362" t="s">
        <v>158</v>
      </c>
      <c r="F343" s="357"/>
      <c r="G343" s="357" t="s">
        <v>159</v>
      </c>
      <c r="H343" s="357"/>
      <c r="I343" s="357" t="s">
        <v>160</v>
      </c>
      <c r="J343" s="357"/>
      <c r="K343" s="357" t="s">
        <v>161</v>
      </c>
      <c r="L343" s="357"/>
      <c r="M343" s="355" t="s">
        <v>162</v>
      </c>
      <c r="N343" s="357" t="s">
        <v>163</v>
      </c>
      <c r="O343" s="357"/>
      <c r="P343" s="357" t="s">
        <v>164</v>
      </c>
      <c r="Q343" s="357"/>
      <c r="R343" s="357" t="s">
        <v>165</v>
      </c>
      <c r="S343" s="357"/>
      <c r="T343" s="357" t="s">
        <v>166</v>
      </c>
      <c r="U343" s="358"/>
      <c r="V343" s="359" t="s">
        <v>167</v>
      </c>
      <c r="W343" s="354" t="s">
        <v>168</v>
      </c>
      <c r="X343" s="360"/>
      <c r="Y343" s="361"/>
    </row>
    <row r="344" spans="1:25" s="59" customFormat="1" ht="12.75">
      <c r="A344" s="63"/>
      <c r="B344" s="63"/>
      <c r="C344" s="120" t="s">
        <v>389</v>
      </c>
      <c r="D344" s="370" t="s">
        <v>311</v>
      </c>
      <c r="E344" s="371"/>
      <c r="F344" s="372"/>
      <c r="G344" s="353" t="s">
        <v>169</v>
      </c>
      <c r="H344" s="353"/>
      <c r="I344" s="353" t="s">
        <v>169</v>
      </c>
      <c r="J344" s="353"/>
      <c r="K344" s="353" t="s">
        <v>169</v>
      </c>
      <c r="L344" s="353"/>
      <c r="M344" s="356"/>
      <c r="N344" s="353" t="s">
        <v>169</v>
      </c>
      <c r="O344" s="353"/>
      <c r="P344" s="353" t="s">
        <v>169</v>
      </c>
      <c r="Q344" s="353"/>
      <c r="R344" s="353" t="s">
        <v>169</v>
      </c>
      <c r="S344" s="353"/>
      <c r="T344" s="353" t="s">
        <v>169</v>
      </c>
      <c r="U344" s="354"/>
      <c r="V344" s="355"/>
      <c r="W344" s="60"/>
      <c r="X344" s="60" t="s">
        <v>170</v>
      </c>
      <c r="Y344" s="60" t="s">
        <v>171</v>
      </c>
    </row>
    <row r="345" spans="1:25" s="59" customFormat="1" ht="15.75" customHeight="1">
      <c r="A345" s="63">
        <v>1</v>
      </c>
      <c r="B345" s="119">
        <v>1</v>
      </c>
      <c r="C345" s="122" t="s">
        <v>573</v>
      </c>
      <c r="D345" s="122" t="s">
        <v>20</v>
      </c>
      <c r="E345" s="366"/>
      <c r="F345" s="367"/>
      <c r="G345" s="366"/>
      <c r="H345" s="367"/>
      <c r="I345" s="366"/>
      <c r="J345" s="367"/>
      <c r="K345" s="368"/>
      <c r="L345" s="369"/>
      <c r="M345" s="67"/>
      <c r="N345" s="366"/>
      <c r="O345" s="367"/>
      <c r="P345" s="366"/>
      <c r="Q345" s="367"/>
      <c r="R345" s="366"/>
      <c r="S345" s="367"/>
      <c r="T345" s="368"/>
      <c r="U345" s="369"/>
      <c r="V345" s="67"/>
      <c r="W345" s="68"/>
      <c r="X345" s="68"/>
      <c r="Y345" s="68"/>
    </row>
    <row r="346" spans="1:25" s="59" customFormat="1" ht="15.75" customHeight="1">
      <c r="A346" s="60">
        <v>2</v>
      </c>
      <c r="B346" s="119">
        <v>2</v>
      </c>
      <c r="C346" s="122" t="s">
        <v>574</v>
      </c>
      <c r="D346" s="122" t="s">
        <v>20</v>
      </c>
      <c r="E346" s="366"/>
      <c r="F346" s="367"/>
      <c r="G346" s="366"/>
      <c r="H346" s="367"/>
      <c r="I346" s="366"/>
      <c r="J346" s="367"/>
      <c r="K346" s="368"/>
      <c r="L346" s="369"/>
      <c r="M346" s="67"/>
      <c r="N346" s="366"/>
      <c r="O346" s="367"/>
      <c r="P346" s="366"/>
      <c r="Q346" s="367"/>
      <c r="R346" s="366"/>
      <c r="S346" s="367"/>
      <c r="T346" s="368"/>
      <c r="U346" s="369"/>
      <c r="V346" s="67"/>
      <c r="W346" s="68"/>
      <c r="X346" s="68"/>
      <c r="Y346" s="68"/>
    </row>
    <row r="347" spans="1:25" s="59" customFormat="1" ht="15.75" customHeight="1">
      <c r="A347" s="60">
        <v>3</v>
      </c>
      <c r="B347" s="119">
        <v>3</v>
      </c>
      <c r="C347" s="122" t="s">
        <v>575</v>
      </c>
      <c r="D347" s="122" t="s">
        <v>16</v>
      </c>
      <c r="E347" s="366"/>
      <c r="F347" s="367"/>
      <c r="G347" s="366"/>
      <c r="H347" s="367"/>
      <c r="I347" s="366"/>
      <c r="J347" s="367"/>
      <c r="K347" s="368"/>
      <c r="L347" s="369"/>
      <c r="M347" s="67"/>
      <c r="N347" s="366"/>
      <c r="O347" s="367"/>
      <c r="P347" s="366"/>
      <c r="Q347" s="367"/>
      <c r="R347" s="366"/>
      <c r="S347" s="367"/>
      <c r="T347" s="368"/>
      <c r="U347" s="369"/>
      <c r="V347" s="67"/>
      <c r="W347" s="68"/>
      <c r="X347" s="286" t="s">
        <v>367</v>
      </c>
      <c r="Y347" s="286"/>
    </row>
    <row r="348" spans="1:25" s="59" customFormat="1" ht="15.75" customHeight="1">
      <c r="A348" s="60">
        <v>4</v>
      </c>
      <c r="B348" s="119">
        <v>4</v>
      </c>
      <c r="C348" s="122" t="s">
        <v>576</v>
      </c>
      <c r="D348" s="122" t="s">
        <v>16</v>
      </c>
      <c r="E348" s="366"/>
      <c r="F348" s="367"/>
      <c r="G348" s="366"/>
      <c r="H348" s="367"/>
      <c r="I348" s="366"/>
      <c r="J348" s="367"/>
      <c r="K348" s="368"/>
      <c r="L348" s="369"/>
      <c r="M348" s="67"/>
      <c r="N348" s="366"/>
      <c r="O348" s="367"/>
      <c r="P348" s="366"/>
      <c r="Q348" s="367"/>
      <c r="R348" s="366"/>
      <c r="S348" s="367"/>
      <c r="T348" s="368"/>
      <c r="U348" s="369"/>
      <c r="V348" s="67"/>
      <c r="W348" s="68"/>
      <c r="X348" s="68"/>
      <c r="Y348" s="68"/>
    </row>
    <row r="349" spans="1:25" s="59" customFormat="1" ht="15.75" customHeight="1">
      <c r="A349" s="60">
        <v>5</v>
      </c>
      <c r="B349" s="119">
        <v>5</v>
      </c>
      <c r="C349" s="122" t="s">
        <v>577</v>
      </c>
      <c r="D349" s="122" t="s">
        <v>18</v>
      </c>
      <c r="E349" s="366"/>
      <c r="F349" s="367"/>
      <c r="G349" s="366"/>
      <c r="H349" s="367"/>
      <c r="I349" s="366"/>
      <c r="J349" s="367"/>
      <c r="K349" s="368"/>
      <c r="L349" s="369"/>
      <c r="M349" s="67"/>
      <c r="N349" s="366"/>
      <c r="O349" s="367"/>
      <c r="P349" s="366"/>
      <c r="Q349" s="367"/>
      <c r="R349" s="366"/>
      <c r="S349" s="367"/>
      <c r="T349" s="368"/>
      <c r="U349" s="369"/>
      <c r="V349" s="67"/>
      <c r="W349" s="68"/>
      <c r="X349" s="68"/>
      <c r="Y349" s="68"/>
    </row>
    <row r="350" spans="1:25" s="59" customFormat="1" ht="15.75" customHeight="1">
      <c r="A350" s="60">
        <v>6</v>
      </c>
      <c r="B350" s="119">
        <v>6</v>
      </c>
      <c r="C350" s="122" t="s">
        <v>578</v>
      </c>
      <c r="D350" s="122" t="s">
        <v>18</v>
      </c>
      <c r="E350" s="366"/>
      <c r="F350" s="367"/>
      <c r="G350" s="366"/>
      <c r="H350" s="367"/>
      <c r="I350" s="366"/>
      <c r="J350" s="367"/>
      <c r="K350" s="368"/>
      <c r="L350" s="369"/>
      <c r="M350" s="67"/>
      <c r="N350" s="366"/>
      <c r="O350" s="367"/>
      <c r="P350" s="366"/>
      <c r="Q350" s="367"/>
      <c r="R350" s="366"/>
      <c r="S350" s="367"/>
      <c r="T350" s="368"/>
      <c r="U350" s="369"/>
      <c r="V350" s="67"/>
      <c r="W350" s="68"/>
      <c r="X350" s="68"/>
      <c r="Y350" s="68"/>
    </row>
    <row r="351" spans="1:25" s="59" customFormat="1" ht="15.75" customHeight="1">
      <c r="A351" s="60">
        <v>7</v>
      </c>
      <c r="B351" s="119">
        <v>7</v>
      </c>
      <c r="C351" s="122" t="s">
        <v>579</v>
      </c>
      <c r="D351" s="122" t="s">
        <v>22</v>
      </c>
      <c r="E351" s="366"/>
      <c r="F351" s="367"/>
      <c r="G351" s="366"/>
      <c r="H351" s="367"/>
      <c r="I351" s="366"/>
      <c r="J351" s="367"/>
      <c r="K351" s="368"/>
      <c r="L351" s="369"/>
      <c r="M351" s="67"/>
      <c r="N351" s="366"/>
      <c r="O351" s="367"/>
      <c r="P351" s="366"/>
      <c r="Q351" s="367"/>
      <c r="R351" s="366"/>
      <c r="S351" s="367"/>
      <c r="T351" s="368"/>
      <c r="U351" s="369"/>
      <c r="V351" s="67"/>
      <c r="W351" s="68"/>
      <c r="X351" s="68"/>
      <c r="Y351" s="68"/>
    </row>
    <row r="352" spans="1:25" s="59" customFormat="1" ht="15.75" customHeight="1">
      <c r="A352" s="60">
        <v>8</v>
      </c>
      <c r="B352" s="119">
        <v>8</v>
      </c>
      <c r="C352" s="122" t="s">
        <v>580</v>
      </c>
      <c r="D352" s="122" t="s">
        <v>22</v>
      </c>
      <c r="E352" s="366"/>
      <c r="F352" s="367"/>
      <c r="G352" s="366"/>
      <c r="H352" s="367"/>
      <c r="I352" s="366"/>
      <c r="J352" s="367"/>
      <c r="K352" s="368"/>
      <c r="L352" s="369"/>
      <c r="M352" s="67"/>
      <c r="N352" s="366"/>
      <c r="O352" s="367"/>
      <c r="P352" s="366"/>
      <c r="Q352" s="367"/>
      <c r="R352" s="366"/>
      <c r="S352" s="367"/>
      <c r="T352" s="368"/>
      <c r="U352" s="369"/>
      <c r="V352" s="67"/>
      <c r="W352" s="68"/>
      <c r="X352" s="68"/>
      <c r="Y352" s="68"/>
    </row>
    <row r="353" spans="1:25" s="59" customFormat="1" ht="15.75" customHeight="1">
      <c r="A353" s="60">
        <v>9</v>
      </c>
      <c r="B353" s="119">
        <v>9</v>
      </c>
      <c r="C353" s="122" t="s">
        <v>581</v>
      </c>
      <c r="D353" s="119" t="s">
        <v>92</v>
      </c>
      <c r="E353" s="366"/>
      <c r="F353" s="367"/>
      <c r="G353" s="366"/>
      <c r="H353" s="367"/>
      <c r="I353" s="366"/>
      <c r="J353" s="367"/>
      <c r="K353" s="368"/>
      <c r="L353" s="369"/>
      <c r="M353" s="67"/>
      <c r="N353" s="366"/>
      <c r="O353" s="367"/>
      <c r="P353" s="366"/>
      <c r="Q353" s="367"/>
      <c r="R353" s="366"/>
      <c r="S353" s="367"/>
      <c r="T353" s="368"/>
      <c r="U353" s="369"/>
      <c r="V353" s="67"/>
      <c r="W353" s="68"/>
      <c r="X353" s="68"/>
      <c r="Y353" s="68"/>
    </row>
    <row r="354" spans="1:25" s="59" customFormat="1" ht="15.75" customHeight="1">
      <c r="A354" s="60">
        <v>10</v>
      </c>
      <c r="B354" s="119">
        <v>10</v>
      </c>
      <c r="C354" s="122" t="s">
        <v>582</v>
      </c>
      <c r="D354" s="119" t="s">
        <v>92</v>
      </c>
      <c r="E354" s="366"/>
      <c r="F354" s="367"/>
      <c r="G354" s="366"/>
      <c r="H354" s="367"/>
      <c r="I354" s="366"/>
      <c r="J354" s="367"/>
      <c r="K354" s="368"/>
      <c r="L354" s="369"/>
      <c r="M354" s="67"/>
      <c r="N354" s="366"/>
      <c r="O354" s="367"/>
      <c r="P354" s="366"/>
      <c r="Q354" s="367"/>
      <c r="R354" s="366"/>
      <c r="S354" s="367"/>
      <c r="T354" s="368"/>
      <c r="U354" s="369"/>
      <c r="V354" s="67"/>
      <c r="W354" s="68"/>
      <c r="X354" s="68"/>
      <c r="Y354" s="68"/>
    </row>
    <row r="355" spans="1:25" s="59" customFormat="1" ht="15.75" customHeight="1">
      <c r="A355" s="60">
        <v>11</v>
      </c>
      <c r="B355" s="119">
        <v>11</v>
      </c>
      <c r="C355" s="122" t="s">
        <v>583</v>
      </c>
      <c r="D355" s="119" t="s">
        <v>19</v>
      </c>
      <c r="E355" s="366"/>
      <c r="F355" s="367"/>
      <c r="G355" s="366"/>
      <c r="H355" s="367"/>
      <c r="I355" s="366"/>
      <c r="J355" s="367"/>
      <c r="K355" s="368"/>
      <c r="L355" s="369"/>
      <c r="M355" s="67"/>
      <c r="N355" s="366"/>
      <c r="O355" s="367"/>
      <c r="P355" s="366"/>
      <c r="Q355" s="367"/>
      <c r="R355" s="366"/>
      <c r="S355" s="367"/>
      <c r="T355" s="368"/>
      <c r="U355" s="369"/>
      <c r="V355" s="67"/>
      <c r="W355" s="68"/>
      <c r="X355" s="68"/>
      <c r="Y355" s="68"/>
    </row>
    <row r="356" spans="1:25" s="59" customFormat="1" ht="15.75" customHeight="1">
      <c r="A356" s="60">
        <v>12</v>
      </c>
      <c r="B356" s="119">
        <v>12</v>
      </c>
      <c r="C356" s="122" t="s">
        <v>584</v>
      </c>
      <c r="D356" s="119" t="s">
        <v>19</v>
      </c>
      <c r="E356" s="366"/>
      <c r="F356" s="367"/>
      <c r="G356" s="366"/>
      <c r="H356" s="367"/>
      <c r="I356" s="366"/>
      <c r="J356" s="367"/>
      <c r="K356" s="368"/>
      <c r="L356" s="369"/>
      <c r="M356" s="67"/>
      <c r="N356" s="366"/>
      <c r="O356" s="367"/>
      <c r="P356" s="366"/>
      <c r="Q356" s="367"/>
      <c r="R356" s="366"/>
      <c r="S356" s="367"/>
      <c r="T356" s="368"/>
      <c r="U356" s="369"/>
      <c r="V356" s="67"/>
      <c r="W356" s="68"/>
      <c r="X356" s="68"/>
      <c r="Y356" s="68"/>
    </row>
    <row r="357" spans="1:25" s="59" customFormat="1" ht="15.75" customHeight="1">
      <c r="A357" s="60"/>
      <c r="B357" s="119"/>
      <c r="C357" s="119"/>
      <c r="D357" s="119"/>
      <c r="E357" s="366"/>
      <c r="F357" s="367"/>
      <c r="G357" s="366"/>
      <c r="H357" s="367"/>
      <c r="I357" s="366"/>
      <c r="J357" s="367"/>
      <c r="K357" s="368"/>
      <c r="L357" s="369"/>
      <c r="M357" s="67"/>
      <c r="N357" s="366"/>
      <c r="O357" s="367"/>
      <c r="P357" s="366"/>
      <c r="Q357" s="367"/>
      <c r="R357" s="366"/>
      <c r="S357" s="367"/>
      <c r="T357" s="368"/>
      <c r="U357" s="369"/>
      <c r="V357" s="67"/>
      <c r="W357" s="68"/>
      <c r="X357" s="68"/>
      <c r="Y357" s="68"/>
    </row>
    <row r="358" spans="1:25" s="59" customFormat="1" ht="15.75" customHeight="1">
      <c r="A358" s="60"/>
      <c r="B358" s="119"/>
      <c r="C358" s="119"/>
      <c r="D358" s="119"/>
      <c r="E358" s="366"/>
      <c r="F358" s="367"/>
      <c r="G358" s="366"/>
      <c r="H358" s="367"/>
      <c r="I358" s="366"/>
      <c r="J358" s="367"/>
      <c r="K358" s="368"/>
      <c r="L358" s="369"/>
      <c r="M358" s="67"/>
      <c r="N358" s="366"/>
      <c r="O358" s="367"/>
      <c r="P358" s="366"/>
      <c r="Q358" s="367"/>
      <c r="R358" s="366"/>
      <c r="S358" s="367"/>
      <c r="T358" s="368"/>
      <c r="U358" s="369"/>
      <c r="V358" s="67"/>
      <c r="W358" s="68"/>
      <c r="X358" s="68"/>
      <c r="Y358" s="68"/>
    </row>
    <row r="359" spans="1:25" s="59" customFormat="1" ht="15.75" customHeight="1">
      <c r="A359" s="60"/>
      <c r="B359" s="119"/>
      <c r="C359" s="119"/>
      <c r="D359" s="119"/>
      <c r="E359" s="366"/>
      <c r="F359" s="367"/>
      <c r="G359" s="366"/>
      <c r="H359" s="367"/>
      <c r="I359" s="366"/>
      <c r="J359" s="367"/>
      <c r="K359" s="368"/>
      <c r="L359" s="369"/>
      <c r="M359" s="67"/>
      <c r="N359" s="366"/>
      <c r="O359" s="367"/>
      <c r="P359" s="366"/>
      <c r="Q359" s="367"/>
      <c r="R359" s="366"/>
      <c r="S359" s="367"/>
      <c r="T359" s="368"/>
      <c r="U359" s="369"/>
      <c r="V359" s="67"/>
      <c r="W359" s="68"/>
      <c r="X359" s="68"/>
      <c r="Y359" s="68"/>
    </row>
    <row r="360" spans="1:25" s="59" customFormat="1" ht="15.75" customHeight="1">
      <c r="A360" s="60"/>
      <c r="B360" s="119"/>
      <c r="C360" s="119"/>
      <c r="D360" s="119"/>
      <c r="E360" s="366"/>
      <c r="F360" s="367"/>
      <c r="G360" s="366"/>
      <c r="H360" s="367"/>
      <c r="I360" s="366"/>
      <c r="J360" s="367"/>
      <c r="K360" s="368"/>
      <c r="L360" s="369"/>
      <c r="M360" s="67"/>
      <c r="N360" s="366"/>
      <c r="O360" s="367"/>
      <c r="P360" s="366"/>
      <c r="Q360" s="367"/>
      <c r="R360" s="366"/>
      <c r="S360" s="367"/>
      <c r="T360" s="368"/>
      <c r="U360" s="369"/>
      <c r="V360" s="67"/>
      <c r="W360" s="68"/>
      <c r="X360" s="68"/>
      <c r="Y360" s="68"/>
    </row>
    <row r="361" spans="1:4" s="59" customFormat="1" ht="12.75">
      <c r="A361" s="69"/>
      <c r="C361" s="70"/>
      <c r="D361" s="70"/>
    </row>
    <row r="362" spans="1:25" s="59" customFormat="1" ht="12.75">
      <c r="A362" s="394" t="s">
        <v>172</v>
      </c>
      <c r="B362" s="395"/>
      <c r="C362" s="395"/>
      <c r="D362" s="395"/>
      <c r="E362" s="395"/>
      <c r="F362" s="395"/>
      <c r="G362" s="341" t="s">
        <v>172</v>
      </c>
      <c r="H362" s="396"/>
      <c r="I362" s="396"/>
      <c r="J362" s="396"/>
      <c r="K362" s="396"/>
      <c r="L362" s="396"/>
      <c r="M362" s="396"/>
      <c r="N362" s="396"/>
      <c r="O362" s="396"/>
      <c r="P362" s="396"/>
      <c r="Q362" s="396"/>
      <c r="R362" s="397"/>
      <c r="S362" s="354" t="s">
        <v>173</v>
      </c>
      <c r="T362" s="360"/>
      <c r="U362" s="360"/>
      <c r="V362" s="360"/>
      <c r="W362" s="360"/>
      <c r="X362" s="360"/>
      <c r="Y362" s="361"/>
    </row>
    <row r="363" spans="1:25" s="59" customFormat="1" ht="12.75">
      <c r="A363" s="60" t="s">
        <v>0</v>
      </c>
      <c r="B363" s="60" t="s">
        <v>174</v>
      </c>
      <c r="C363" s="60" t="s">
        <v>156</v>
      </c>
      <c r="D363" s="60" t="s">
        <v>157</v>
      </c>
      <c r="E363" s="353" t="s">
        <v>175</v>
      </c>
      <c r="F363" s="353"/>
      <c r="G363" s="63" t="s">
        <v>0</v>
      </c>
      <c r="H363" s="64" t="s">
        <v>174</v>
      </c>
      <c r="I363" s="354" t="s">
        <v>156</v>
      </c>
      <c r="J363" s="360"/>
      <c r="K363" s="360"/>
      <c r="L363" s="361"/>
      <c r="M363" s="391" t="s">
        <v>157</v>
      </c>
      <c r="N363" s="392"/>
      <c r="O363" s="392"/>
      <c r="P363" s="393"/>
      <c r="Q363" s="354" t="s">
        <v>175</v>
      </c>
      <c r="R363" s="361"/>
      <c r="S363" s="72"/>
      <c r="T363" s="73"/>
      <c r="U363" s="73"/>
      <c r="V363" s="57"/>
      <c r="W363" s="57"/>
      <c r="X363" s="57"/>
      <c r="Y363" s="58"/>
    </row>
    <row r="364" spans="1:25" s="59" customFormat="1" ht="15.75" customHeight="1">
      <c r="A364" s="60">
        <v>1</v>
      </c>
      <c r="B364" s="71"/>
      <c r="C364" s="74"/>
      <c r="D364" s="74"/>
      <c r="E364" s="384"/>
      <c r="F364" s="385"/>
      <c r="G364" s="247">
        <v>9</v>
      </c>
      <c r="H364" s="71"/>
      <c r="I364" s="386"/>
      <c r="J364" s="387"/>
      <c r="K364" s="387"/>
      <c r="L364" s="388"/>
      <c r="M364" s="386"/>
      <c r="N364" s="387"/>
      <c r="O364" s="387"/>
      <c r="P364" s="388"/>
      <c r="Q364" s="384"/>
      <c r="R364" s="385"/>
      <c r="S364" s="76"/>
      <c r="T364" s="77"/>
      <c r="U364" s="77"/>
      <c r="V364" s="78"/>
      <c r="W364" s="78"/>
      <c r="X364" s="78"/>
      <c r="Y364" s="79"/>
    </row>
    <row r="365" spans="1:25" s="59" customFormat="1" ht="15.75" customHeight="1">
      <c r="A365" s="60">
        <v>2</v>
      </c>
      <c r="B365" s="71"/>
      <c r="C365" s="74"/>
      <c r="D365" s="74"/>
      <c r="E365" s="384"/>
      <c r="F365" s="385"/>
      <c r="G365" s="247">
        <v>10</v>
      </c>
      <c r="H365" s="71"/>
      <c r="I365" s="386"/>
      <c r="J365" s="387"/>
      <c r="K365" s="387"/>
      <c r="L365" s="388"/>
      <c r="M365" s="386"/>
      <c r="N365" s="387"/>
      <c r="O365" s="387"/>
      <c r="P365" s="388"/>
      <c r="Q365" s="389"/>
      <c r="R365" s="390"/>
      <c r="S365" s="72"/>
      <c r="T365" s="73"/>
      <c r="U365" s="73"/>
      <c r="V365" s="57"/>
      <c r="W365" s="57"/>
      <c r="X365" s="57"/>
      <c r="Y365" s="58"/>
    </row>
    <row r="366" spans="1:25" s="59" customFormat="1" ht="15.75" customHeight="1">
      <c r="A366" s="60">
        <v>3</v>
      </c>
      <c r="B366" s="71"/>
      <c r="C366" s="74"/>
      <c r="D366" s="74"/>
      <c r="E366" s="384"/>
      <c r="F366" s="385"/>
      <c r="G366" s="247">
        <v>11</v>
      </c>
      <c r="H366" s="71"/>
      <c r="I366" s="386"/>
      <c r="J366" s="387"/>
      <c r="K366" s="387"/>
      <c r="L366" s="388"/>
      <c r="M366" s="386"/>
      <c r="N366" s="387"/>
      <c r="O366" s="387"/>
      <c r="P366" s="388"/>
      <c r="Q366" s="389"/>
      <c r="R366" s="390"/>
      <c r="S366" s="76"/>
      <c r="T366" s="77"/>
      <c r="U366" s="77"/>
      <c r="V366" s="78"/>
      <c r="W366" s="78"/>
      <c r="X366" s="78"/>
      <c r="Y366" s="79"/>
    </row>
    <row r="367" spans="1:25" s="59" customFormat="1" ht="15.75" customHeight="1">
      <c r="A367" s="60">
        <v>4</v>
      </c>
      <c r="B367" s="71"/>
      <c r="C367" s="74"/>
      <c r="D367" s="74"/>
      <c r="E367" s="384"/>
      <c r="F367" s="385"/>
      <c r="G367" s="247">
        <v>12</v>
      </c>
      <c r="H367" s="71"/>
      <c r="I367" s="386"/>
      <c r="J367" s="387"/>
      <c r="K367" s="387"/>
      <c r="L367" s="388"/>
      <c r="M367" s="386"/>
      <c r="N367" s="387"/>
      <c r="O367" s="387"/>
      <c r="P367" s="388"/>
      <c r="Q367" s="389"/>
      <c r="R367" s="390"/>
      <c r="S367" s="72"/>
      <c r="T367" s="73"/>
      <c r="U367" s="73"/>
      <c r="V367" s="57"/>
      <c r="W367" s="57"/>
      <c r="X367" s="57"/>
      <c r="Y367" s="58"/>
    </row>
    <row r="368" spans="1:25" s="59" customFormat="1" ht="15.75" customHeight="1">
      <c r="A368" s="60">
        <v>5</v>
      </c>
      <c r="B368" s="71"/>
      <c r="C368" s="74"/>
      <c r="D368" s="74"/>
      <c r="E368" s="384"/>
      <c r="F368" s="385"/>
      <c r="G368" s="247">
        <v>13</v>
      </c>
      <c r="H368" s="71"/>
      <c r="I368" s="386"/>
      <c r="J368" s="387"/>
      <c r="K368" s="387"/>
      <c r="L368" s="388"/>
      <c r="M368" s="386"/>
      <c r="N368" s="387"/>
      <c r="O368" s="387"/>
      <c r="P368" s="388"/>
      <c r="Q368" s="389"/>
      <c r="R368" s="390"/>
      <c r="S368" s="76"/>
      <c r="T368" s="77"/>
      <c r="U368" s="77"/>
      <c r="V368" s="78"/>
      <c r="W368" s="78"/>
      <c r="X368" s="78"/>
      <c r="Y368" s="79"/>
    </row>
    <row r="369" spans="1:25" s="59" customFormat="1" ht="15.75" customHeight="1">
      <c r="A369" s="60">
        <v>6</v>
      </c>
      <c r="B369" s="71"/>
      <c r="C369" s="74"/>
      <c r="D369" s="74"/>
      <c r="E369" s="384"/>
      <c r="F369" s="385"/>
      <c r="G369" s="247">
        <v>14</v>
      </c>
      <c r="H369" s="71"/>
      <c r="I369" s="386"/>
      <c r="J369" s="387"/>
      <c r="K369" s="387"/>
      <c r="L369" s="388"/>
      <c r="M369" s="386"/>
      <c r="N369" s="387"/>
      <c r="O369" s="387"/>
      <c r="P369" s="388"/>
      <c r="Q369" s="389"/>
      <c r="R369" s="390"/>
      <c r="S369" s="354" t="s">
        <v>176</v>
      </c>
      <c r="T369" s="360"/>
      <c r="U369" s="360"/>
      <c r="V369" s="360"/>
      <c r="W369" s="360"/>
      <c r="X369" s="360"/>
      <c r="Y369" s="361"/>
    </row>
    <row r="370" spans="1:25" s="59" customFormat="1" ht="15.75" customHeight="1">
      <c r="A370" s="60">
        <v>7</v>
      </c>
      <c r="B370" s="71"/>
      <c r="C370" s="74"/>
      <c r="D370" s="74"/>
      <c r="E370" s="384"/>
      <c r="F370" s="385"/>
      <c r="G370" s="247">
        <v>15</v>
      </c>
      <c r="H370" s="71"/>
      <c r="I370" s="386"/>
      <c r="J370" s="387"/>
      <c r="K370" s="387"/>
      <c r="L370" s="388"/>
      <c r="M370" s="386"/>
      <c r="N370" s="387"/>
      <c r="O370" s="387"/>
      <c r="P370" s="388"/>
      <c r="Q370" s="389"/>
      <c r="R370" s="390"/>
      <c r="S370" s="72"/>
      <c r="T370" s="73"/>
      <c r="U370" s="73"/>
      <c r="V370" s="57"/>
      <c r="W370" s="57"/>
      <c r="X370" s="57"/>
      <c r="Y370" s="58"/>
    </row>
    <row r="371" spans="1:25" s="59" customFormat="1" ht="15.75" customHeight="1">
      <c r="A371" s="60">
        <v>8</v>
      </c>
      <c r="B371" s="71"/>
      <c r="C371" s="74"/>
      <c r="D371" s="74"/>
      <c r="E371" s="384"/>
      <c r="F371" s="385"/>
      <c r="G371" s="247">
        <v>16</v>
      </c>
      <c r="H371" s="71"/>
      <c r="I371" s="386"/>
      <c r="J371" s="387"/>
      <c r="K371" s="387"/>
      <c r="L371" s="388"/>
      <c r="M371" s="386"/>
      <c r="N371" s="387"/>
      <c r="O371" s="387"/>
      <c r="P371" s="388"/>
      <c r="Q371" s="389"/>
      <c r="R371" s="390"/>
      <c r="S371" s="76"/>
      <c r="T371" s="77"/>
      <c r="U371" s="77"/>
      <c r="V371" s="78"/>
      <c r="W371" s="78"/>
      <c r="X371" s="78"/>
      <c r="Y371" s="79"/>
    </row>
    <row r="374" spans="1:25" s="59" customFormat="1" ht="20.25">
      <c r="A374" s="336" t="s">
        <v>147</v>
      </c>
      <c r="B374" s="337"/>
      <c r="C374" s="337"/>
      <c r="D374" s="337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8"/>
    </row>
    <row r="375" spans="1:25" s="59" customFormat="1" ht="15.75" customHeight="1">
      <c r="A375" s="339" t="s">
        <v>148</v>
      </c>
      <c r="B375" s="340"/>
      <c r="C375" s="341" t="s">
        <v>177</v>
      </c>
      <c r="D375" s="342"/>
      <c r="E375" s="339" t="s">
        <v>149</v>
      </c>
      <c r="F375" s="343"/>
      <c r="G375" s="340"/>
      <c r="H375" s="341" t="s">
        <v>360</v>
      </c>
      <c r="I375" s="344"/>
      <c r="J375" s="345"/>
      <c r="K375" s="345"/>
      <c r="L375" s="346"/>
      <c r="M375" s="347" t="s">
        <v>150</v>
      </c>
      <c r="N375" s="348"/>
      <c r="O375" s="349"/>
      <c r="P375" s="350" t="s">
        <v>371</v>
      </c>
      <c r="Q375" s="351"/>
      <c r="R375" s="351"/>
      <c r="S375" s="351"/>
      <c r="T375" s="351"/>
      <c r="U375" s="351"/>
      <c r="V375" s="351"/>
      <c r="W375" s="351"/>
      <c r="X375" s="351"/>
      <c r="Y375" s="352"/>
    </row>
    <row r="376" spans="1:25" s="59" customFormat="1" ht="15.75" customHeight="1">
      <c r="A376" s="339" t="s">
        <v>179</v>
      </c>
      <c r="B376" s="340"/>
      <c r="C376" s="377" t="s">
        <v>192</v>
      </c>
      <c r="D376" s="378"/>
      <c r="E376" s="339" t="s">
        <v>151</v>
      </c>
      <c r="F376" s="343"/>
      <c r="G376" s="340"/>
      <c r="H376" s="379" t="s">
        <v>201</v>
      </c>
      <c r="I376" s="380"/>
      <c r="J376" s="339" t="s">
        <v>152</v>
      </c>
      <c r="K376" s="343"/>
      <c r="L376" s="340"/>
      <c r="M376" s="381"/>
      <c r="N376" s="375"/>
      <c r="O376" s="376"/>
      <c r="P376" s="373" t="s">
        <v>153</v>
      </c>
      <c r="Q376" s="374"/>
      <c r="R376" s="375"/>
      <c r="S376" s="375"/>
      <c r="T376" s="375" t="e">
        <f>VLOOKUP(I374,eventslist,4,FALSE)</f>
        <v>#NAME?</v>
      </c>
      <c r="U376" s="375"/>
      <c r="V376" s="375" t="e">
        <f>VLOOKUP(K374,eventslist,4,FALSE)</f>
        <v>#NAME?</v>
      </c>
      <c r="W376" s="375"/>
      <c r="X376" s="375" t="e">
        <f>VLOOKUP(M374,eventslist,4,FALSE)</f>
        <v>#NAME?</v>
      </c>
      <c r="Y376" s="376"/>
    </row>
    <row r="377" spans="1:25" s="59" customFormat="1" ht="31.5" customHeight="1">
      <c r="A377" s="60" t="s">
        <v>154</v>
      </c>
      <c r="B377" s="60" t="s">
        <v>155</v>
      </c>
      <c r="C377" s="61" t="s">
        <v>156</v>
      </c>
      <c r="D377" s="62" t="s">
        <v>157</v>
      </c>
      <c r="E377" s="362" t="s">
        <v>158</v>
      </c>
      <c r="F377" s="357"/>
      <c r="G377" s="357" t="s">
        <v>159</v>
      </c>
      <c r="H377" s="357"/>
      <c r="I377" s="357" t="s">
        <v>160</v>
      </c>
      <c r="J377" s="357"/>
      <c r="K377" s="357" t="s">
        <v>161</v>
      </c>
      <c r="L377" s="357"/>
      <c r="M377" s="355" t="s">
        <v>162</v>
      </c>
      <c r="N377" s="357" t="s">
        <v>163</v>
      </c>
      <c r="O377" s="357"/>
      <c r="P377" s="357" t="s">
        <v>164</v>
      </c>
      <c r="Q377" s="357"/>
      <c r="R377" s="357" t="s">
        <v>165</v>
      </c>
      <c r="S377" s="357"/>
      <c r="T377" s="357" t="s">
        <v>166</v>
      </c>
      <c r="U377" s="358"/>
      <c r="V377" s="359" t="s">
        <v>167</v>
      </c>
      <c r="W377" s="354" t="s">
        <v>168</v>
      </c>
      <c r="X377" s="360"/>
      <c r="Y377" s="361"/>
    </row>
    <row r="378" spans="1:25" s="59" customFormat="1" ht="12.75">
      <c r="A378" s="63"/>
      <c r="B378" s="63"/>
      <c r="C378" s="120" t="s">
        <v>390</v>
      </c>
      <c r="D378" s="370" t="s">
        <v>312</v>
      </c>
      <c r="E378" s="371"/>
      <c r="F378" s="372"/>
      <c r="G378" s="353" t="s">
        <v>169</v>
      </c>
      <c r="H378" s="353"/>
      <c r="I378" s="353" t="s">
        <v>169</v>
      </c>
      <c r="J378" s="353"/>
      <c r="K378" s="353" t="s">
        <v>169</v>
      </c>
      <c r="L378" s="353"/>
      <c r="M378" s="356"/>
      <c r="N378" s="353" t="s">
        <v>169</v>
      </c>
      <c r="O378" s="353"/>
      <c r="P378" s="353" t="s">
        <v>169</v>
      </c>
      <c r="Q378" s="353"/>
      <c r="R378" s="353" t="s">
        <v>169</v>
      </c>
      <c r="S378" s="353"/>
      <c r="T378" s="353" t="s">
        <v>169</v>
      </c>
      <c r="U378" s="354"/>
      <c r="V378" s="355"/>
      <c r="W378" s="60"/>
      <c r="X378" s="60" t="s">
        <v>170</v>
      </c>
      <c r="Y378" s="60" t="s">
        <v>171</v>
      </c>
    </row>
    <row r="379" spans="1:25" s="59" customFormat="1" ht="15.75" customHeight="1">
      <c r="A379" s="63">
        <v>1</v>
      </c>
      <c r="B379" s="119">
        <v>1</v>
      </c>
      <c r="C379" s="122" t="s">
        <v>622</v>
      </c>
      <c r="D379" s="122" t="s">
        <v>20</v>
      </c>
      <c r="E379" s="366"/>
      <c r="F379" s="367"/>
      <c r="G379" s="366"/>
      <c r="H379" s="367"/>
      <c r="I379" s="366"/>
      <c r="J379" s="367"/>
      <c r="K379" s="368"/>
      <c r="L379" s="369"/>
      <c r="M379" s="67"/>
      <c r="N379" s="366"/>
      <c r="O379" s="367"/>
      <c r="P379" s="366"/>
      <c r="Q379" s="367"/>
      <c r="R379" s="366"/>
      <c r="S379" s="367"/>
      <c r="T379" s="368"/>
      <c r="U379" s="369"/>
      <c r="V379" s="67"/>
      <c r="W379" s="68"/>
      <c r="X379" s="68"/>
      <c r="Y379" s="68"/>
    </row>
    <row r="380" spans="1:25" s="59" customFormat="1" ht="15.75" customHeight="1">
      <c r="A380" s="60">
        <v>2</v>
      </c>
      <c r="B380" s="119">
        <v>3</v>
      </c>
      <c r="C380" s="122" t="s">
        <v>623</v>
      </c>
      <c r="D380" s="122" t="s">
        <v>16</v>
      </c>
      <c r="E380" s="366"/>
      <c r="F380" s="367"/>
      <c r="G380" s="366"/>
      <c r="H380" s="367"/>
      <c r="I380" s="366"/>
      <c r="J380" s="367"/>
      <c r="K380" s="368"/>
      <c r="L380" s="369"/>
      <c r="M380" s="67"/>
      <c r="N380" s="366"/>
      <c r="O380" s="367"/>
      <c r="P380" s="366"/>
      <c r="Q380" s="367"/>
      <c r="R380" s="366"/>
      <c r="S380" s="367"/>
      <c r="T380" s="368"/>
      <c r="U380" s="369"/>
      <c r="V380" s="67"/>
      <c r="W380" s="68"/>
      <c r="X380" s="68"/>
      <c r="Y380" s="68"/>
    </row>
    <row r="381" spans="1:25" s="59" customFormat="1" ht="15.75" customHeight="1">
      <c r="A381" s="60">
        <v>3</v>
      </c>
      <c r="B381" s="119">
        <v>4</v>
      </c>
      <c r="C381" s="122" t="s">
        <v>624</v>
      </c>
      <c r="D381" s="122" t="s">
        <v>16</v>
      </c>
      <c r="E381" s="366"/>
      <c r="F381" s="367"/>
      <c r="G381" s="366"/>
      <c r="H381" s="367"/>
      <c r="I381" s="366"/>
      <c r="J381" s="367"/>
      <c r="K381" s="368"/>
      <c r="L381" s="369"/>
      <c r="M381" s="67"/>
      <c r="N381" s="366"/>
      <c r="O381" s="367"/>
      <c r="P381" s="366"/>
      <c r="Q381" s="367"/>
      <c r="R381" s="366"/>
      <c r="S381" s="367"/>
      <c r="T381" s="368"/>
      <c r="U381" s="369"/>
      <c r="V381" s="67"/>
      <c r="W381" s="68"/>
      <c r="X381" s="68"/>
      <c r="Y381" s="68"/>
    </row>
    <row r="382" spans="1:25" s="59" customFormat="1" ht="15.75" customHeight="1">
      <c r="A382" s="60">
        <v>4</v>
      </c>
      <c r="B382" s="119">
        <v>5</v>
      </c>
      <c r="C382" s="122" t="s">
        <v>625</v>
      </c>
      <c r="D382" s="122" t="s">
        <v>18</v>
      </c>
      <c r="E382" s="366"/>
      <c r="F382" s="367"/>
      <c r="G382" s="366"/>
      <c r="H382" s="367"/>
      <c r="I382" s="366"/>
      <c r="J382" s="367"/>
      <c r="K382" s="368"/>
      <c r="L382" s="369"/>
      <c r="M382" s="67"/>
      <c r="N382" s="366"/>
      <c r="O382" s="367"/>
      <c r="P382" s="366"/>
      <c r="Q382" s="367"/>
      <c r="R382" s="366"/>
      <c r="S382" s="367"/>
      <c r="T382" s="368"/>
      <c r="U382" s="369"/>
      <c r="V382" s="67"/>
      <c r="W382" s="68"/>
      <c r="X382" s="68"/>
      <c r="Y382" s="68"/>
    </row>
    <row r="383" spans="1:25" s="59" customFormat="1" ht="15.75" customHeight="1">
      <c r="A383" s="60">
        <v>5</v>
      </c>
      <c r="B383" s="119" t="s">
        <v>728</v>
      </c>
      <c r="C383" s="122" t="s">
        <v>626</v>
      </c>
      <c r="D383" s="122" t="s">
        <v>18</v>
      </c>
      <c r="E383" s="366"/>
      <c r="F383" s="367"/>
      <c r="G383" s="366"/>
      <c r="H383" s="367"/>
      <c r="I383" s="366"/>
      <c r="J383" s="367"/>
      <c r="K383" s="368"/>
      <c r="L383" s="369"/>
      <c r="M383" s="67"/>
      <c r="N383" s="366"/>
      <c r="O383" s="367"/>
      <c r="P383" s="366"/>
      <c r="Q383" s="367"/>
      <c r="R383" s="366"/>
      <c r="S383" s="367"/>
      <c r="T383" s="368"/>
      <c r="U383" s="369"/>
      <c r="V383" s="67"/>
      <c r="W383" s="68"/>
      <c r="X383" s="68"/>
      <c r="Y383" s="68"/>
    </row>
    <row r="384" spans="1:25" s="59" customFormat="1" ht="15.75" customHeight="1">
      <c r="A384" s="60">
        <v>6</v>
      </c>
      <c r="B384" s="119">
        <v>6</v>
      </c>
      <c r="C384" s="122" t="s">
        <v>627</v>
      </c>
      <c r="D384" s="122" t="s">
        <v>18</v>
      </c>
      <c r="E384" s="366"/>
      <c r="F384" s="367"/>
      <c r="G384" s="366"/>
      <c r="H384" s="367"/>
      <c r="I384" s="366"/>
      <c r="J384" s="367"/>
      <c r="K384" s="368"/>
      <c r="L384" s="369"/>
      <c r="M384" s="67"/>
      <c r="N384" s="366"/>
      <c r="O384" s="367"/>
      <c r="P384" s="366"/>
      <c r="Q384" s="367"/>
      <c r="R384" s="366"/>
      <c r="S384" s="367"/>
      <c r="T384" s="368"/>
      <c r="U384" s="369"/>
      <c r="V384" s="67"/>
      <c r="W384" s="68"/>
      <c r="X384" s="68"/>
      <c r="Y384" s="68"/>
    </row>
    <row r="385" spans="1:25" s="59" customFormat="1" ht="15.75" customHeight="1">
      <c r="A385" s="60">
        <v>7</v>
      </c>
      <c r="B385" s="119">
        <v>7</v>
      </c>
      <c r="C385" s="122" t="s">
        <v>628</v>
      </c>
      <c r="D385" s="122" t="s">
        <v>22</v>
      </c>
      <c r="E385" s="366"/>
      <c r="F385" s="367"/>
      <c r="G385" s="366"/>
      <c r="H385" s="367"/>
      <c r="I385" s="366"/>
      <c r="J385" s="367"/>
      <c r="K385" s="368"/>
      <c r="L385" s="369"/>
      <c r="M385" s="67"/>
      <c r="N385" s="366"/>
      <c r="O385" s="367"/>
      <c r="P385" s="366"/>
      <c r="Q385" s="367"/>
      <c r="R385" s="366"/>
      <c r="S385" s="367"/>
      <c r="T385" s="368"/>
      <c r="U385" s="369"/>
      <c r="V385" s="67"/>
      <c r="W385" s="68"/>
      <c r="X385" s="68"/>
      <c r="Y385" s="68"/>
    </row>
    <row r="386" spans="1:25" s="59" customFormat="1" ht="15.75" customHeight="1">
      <c r="A386" s="60">
        <v>8</v>
      </c>
      <c r="B386" s="119">
        <v>9</v>
      </c>
      <c r="C386" s="122" t="s">
        <v>630</v>
      </c>
      <c r="D386" s="122" t="s">
        <v>92</v>
      </c>
      <c r="E386" s="366"/>
      <c r="F386" s="367"/>
      <c r="G386" s="366"/>
      <c r="H386" s="367"/>
      <c r="I386" s="366"/>
      <c r="J386" s="367"/>
      <c r="K386" s="368"/>
      <c r="L386" s="369"/>
      <c r="M386" s="67"/>
      <c r="N386" s="366"/>
      <c r="O386" s="367"/>
      <c r="P386" s="366"/>
      <c r="Q386" s="367"/>
      <c r="R386" s="366"/>
      <c r="S386" s="367"/>
      <c r="T386" s="368"/>
      <c r="U386" s="369"/>
      <c r="V386" s="67"/>
      <c r="W386" s="68"/>
      <c r="X386" s="68"/>
      <c r="Y386" s="68"/>
    </row>
    <row r="387" spans="1:25" s="59" customFormat="1" ht="15.75" customHeight="1">
      <c r="A387" s="60">
        <v>9</v>
      </c>
      <c r="B387" s="119">
        <v>10</v>
      </c>
      <c r="C387" s="122" t="s">
        <v>631</v>
      </c>
      <c r="D387" s="122" t="s">
        <v>92</v>
      </c>
      <c r="E387" s="366"/>
      <c r="F387" s="367"/>
      <c r="G387" s="366"/>
      <c r="H387" s="367"/>
      <c r="I387" s="366"/>
      <c r="J387" s="367"/>
      <c r="K387" s="368"/>
      <c r="L387" s="369"/>
      <c r="M387" s="67"/>
      <c r="N387" s="366"/>
      <c r="O387" s="367"/>
      <c r="P387" s="366"/>
      <c r="Q387" s="367"/>
      <c r="R387" s="366"/>
      <c r="S387" s="367"/>
      <c r="T387" s="368"/>
      <c r="U387" s="369"/>
      <c r="V387" s="67"/>
      <c r="W387" s="68"/>
      <c r="X387" s="68"/>
      <c r="Y387" s="68"/>
    </row>
    <row r="388" spans="1:25" s="59" customFormat="1" ht="15.75" customHeight="1">
      <c r="A388" s="60">
        <v>10</v>
      </c>
      <c r="B388" s="119">
        <v>11</v>
      </c>
      <c r="C388" s="122" t="s">
        <v>632</v>
      </c>
      <c r="D388" s="122" t="s">
        <v>19</v>
      </c>
      <c r="E388" s="366"/>
      <c r="F388" s="367"/>
      <c r="G388" s="366"/>
      <c r="H388" s="367"/>
      <c r="I388" s="366"/>
      <c r="J388" s="367"/>
      <c r="K388" s="368"/>
      <c r="L388" s="369"/>
      <c r="M388" s="67"/>
      <c r="N388" s="366"/>
      <c r="O388" s="367"/>
      <c r="P388" s="366"/>
      <c r="Q388" s="367"/>
      <c r="R388" s="366"/>
      <c r="S388" s="367"/>
      <c r="T388" s="368"/>
      <c r="U388" s="369"/>
      <c r="V388" s="67"/>
      <c r="W388" s="68"/>
      <c r="X388" s="68"/>
      <c r="Y388" s="68"/>
    </row>
    <row r="389" spans="1:25" s="59" customFormat="1" ht="15.75" customHeight="1">
      <c r="A389" s="247">
        <v>11</v>
      </c>
      <c r="B389" s="119">
        <v>12</v>
      </c>
      <c r="C389" s="122" t="s">
        <v>633</v>
      </c>
      <c r="D389" s="122" t="s">
        <v>19</v>
      </c>
      <c r="E389" s="237"/>
      <c r="F389" s="238"/>
      <c r="G389" s="237"/>
      <c r="H389" s="238"/>
      <c r="I389" s="237"/>
      <c r="J389" s="238"/>
      <c r="K389" s="239"/>
      <c r="L389" s="240"/>
      <c r="M389" s="67"/>
      <c r="N389" s="237"/>
      <c r="O389" s="238"/>
      <c r="P389" s="237"/>
      <c r="Q389" s="238"/>
      <c r="R389" s="237"/>
      <c r="S389" s="238"/>
      <c r="T389" s="239"/>
      <c r="U389" s="240"/>
      <c r="V389" s="67"/>
      <c r="W389" s="250"/>
      <c r="X389" s="250"/>
      <c r="Y389" s="250"/>
    </row>
    <row r="390" spans="1:25" s="59" customFormat="1" ht="15.75" customHeight="1">
      <c r="A390" s="247">
        <v>12</v>
      </c>
      <c r="B390" s="119">
        <v>8</v>
      </c>
      <c r="C390" s="119" t="s">
        <v>629</v>
      </c>
      <c r="D390" s="122" t="s">
        <v>22</v>
      </c>
      <c r="E390" s="237"/>
      <c r="F390" s="238"/>
      <c r="G390" s="237"/>
      <c r="H390" s="238"/>
      <c r="I390" s="237"/>
      <c r="J390" s="238"/>
      <c r="K390" s="239"/>
      <c r="L390" s="240"/>
      <c r="M390" s="67"/>
      <c r="N390" s="237"/>
      <c r="O390" s="238"/>
      <c r="P390" s="237"/>
      <c r="Q390" s="238"/>
      <c r="R390" s="237"/>
      <c r="S390" s="238"/>
      <c r="T390" s="239"/>
      <c r="U390" s="240"/>
      <c r="V390" s="67"/>
      <c r="W390" s="250"/>
      <c r="X390" s="250"/>
      <c r="Y390" s="250"/>
    </row>
    <row r="391" spans="1:25" s="59" customFormat="1" ht="15.75" customHeight="1">
      <c r="A391" s="60"/>
      <c r="B391" s="119"/>
      <c r="C391" s="120" t="s">
        <v>391</v>
      </c>
      <c r="D391" s="370" t="s">
        <v>313</v>
      </c>
      <c r="E391" s="371"/>
      <c r="F391" s="372"/>
      <c r="G391" s="366"/>
      <c r="H391" s="367"/>
      <c r="I391" s="366"/>
      <c r="J391" s="367"/>
      <c r="K391" s="368"/>
      <c r="L391" s="369"/>
      <c r="M391" s="67"/>
      <c r="N391" s="366"/>
      <c r="O391" s="367"/>
      <c r="P391" s="366"/>
      <c r="Q391" s="367"/>
      <c r="R391" s="366"/>
      <c r="S391" s="367"/>
      <c r="T391" s="368"/>
      <c r="U391" s="369"/>
      <c r="V391" s="67"/>
      <c r="W391" s="68"/>
      <c r="X391" s="68"/>
      <c r="Y391" s="68"/>
    </row>
    <row r="392" spans="1:25" s="59" customFormat="1" ht="15.75" customHeight="1">
      <c r="A392" s="60">
        <v>13</v>
      </c>
      <c r="B392" s="119">
        <v>3</v>
      </c>
      <c r="C392" s="122" t="s">
        <v>634</v>
      </c>
      <c r="D392" s="193" t="s">
        <v>16</v>
      </c>
      <c r="E392" s="164"/>
      <c r="F392" s="165"/>
      <c r="G392" s="366"/>
      <c r="H392" s="367"/>
      <c r="I392" s="366"/>
      <c r="J392" s="367"/>
      <c r="K392" s="368"/>
      <c r="L392" s="369"/>
      <c r="M392" s="67"/>
      <c r="N392" s="366"/>
      <c r="O392" s="367"/>
      <c r="P392" s="366"/>
      <c r="Q392" s="367"/>
      <c r="R392" s="366"/>
      <c r="S392" s="367"/>
      <c r="T392" s="368"/>
      <c r="U392" s="369"/>
      <c r="V392" s="67"/>
      <c r="W392" s="68"/>
      <c r="X392" s="68"/>
      <c r="Y392" s="68"/>
    </row>
    <row r="393" spans="1:25" s="59" customFormat="1" ht="15.75" customHeight="1">
      <c r="A393" s="60">
        <v>14</v>
      </c>
      <c r="B393" s="119">
        <v>7</v>
      </c>
      <c r="C393" s="122" t="s">
        <v>635</v>
      </c>
      <c r="D393" s="122" t="s">
        <v>22</v>
      </c>
      <c r="E393" s="366"/>
      <c r="F393" s="367"/>
      <c r="G393" s="366"/>
      <c r="H393" s="367"/>
      <c r="I393" s="366"/>
      <c r="J393" s="367"/>
      <c r="K393" s="368"/>
      <c r="L393" s="369"/>
      <c r="M393" s="67"/>
      <c r="N393" s="366"/>
      <c r="O393" s="367"/>
      <c r="P393" s="366"/>
      <c r="Q393" s="367"/>
      <c r="R393" s="366"/>
      <c r="S393" s="367"/>
      <c r="T393" s="368"/>
      <c r="U393" s="369"/>
      <c r="V393" s="67"/>
      <c r="W393" s="68"/>
      <c r="X393" s="68"/>
      <c r="Y393" s="68"/>
    </row>
    <row r="394" spans="1:25" s="59" customFormat="1" ht="15.75" customHeight="1">
      <c r="A394" s="60">
        <v>15</v>
      </c>
      <c r="B394" s="119">
        <v>8</v>
      </c>
      <c r="C394" s="122" t="s">
        <v>636</v>
      </c>
      <c r="D394" s="119" t="s">
        <v>22</v>
      </c>
      <c r="E394" s="366"/>
      <c r="F394" s="367"/>
      <c r="G394" s="366"/>
      <c r="H394" s="367"/>
      <c r="I394" s="366"/>
      <c r="J394" s="367"/>
      <c r="K394" s="368"/>
      <c r="L394" s="369"/>
      <c r="M394" s="67"/>
      <c r="N394" s="366"/>
      <c r="O394" s="367"/>
      <c r="P394" s="366"/>
      <c r="Q394" s="367"/>
      <c r="R394" s="366"/>
      <c r="S394" s="367"/>
      <c r="T394" s="368"/>
      <c r="U394" s="369"/>
      <c r="V394" s="67"/>
      <c r="W394" s="68"/>
      <c r="X394" s="68"/>
      <c r="Y394" s="68"/>
    </row>
    <row r="395" spans="1:25" s="59" customFormat="1" ht="15.75" customHeight="1">
      <c r="A395" s="60"/>
      <c r="B395" s="119"/>
      <c r="C395" s="119"/>
      <c r="D395" s="119"/>
      <c r="E395" s="366"/>
      <c r="F395" s="367"/>
      <c r="G395" s="366"/>
      <c r="H395" s="367"/>
      <c r="I395" s="366"/>
      <c r="J395" s="367"/>
      <c r="K395" s="368"/>
      <c r="L395" s="369"/>
      <c r="M395" s="67"/>
      <c r="N395" s="366"/>
      <c r="O395" s="367"/>
      <c r="P395" s="366"/>
      <c r="Q395" s="367"/>
      <c r="R395" s="366"/>
      <c r="S395" s="367"/>
      <c r="T395" s="368"/>
      <c r="U395" s="369"/>
      <c r="V395" s="67"/>
      <c r="W395" s="68"/>
      <c r="X395" s="68"/>
      <c r="Y395" s="68"/>
    </row>
    <row r="396" spans="1:4" s="59" customFormat="1" ht="12.75">
      <c r="A396" s="69"/>
      <c r="C396" s="70"/>
      <c r="D396" s="70"/>
    </row>
    <row r="397" spans="1:25" s="59" customFormat="1" ht="12.75">
      <c r="A397" s="394" t="s">
        <v>172</v>
      </c>
      <c r="B397" s="395"/>
      <c r="C397" s="395"/>
      <c r="D397" s="395"/>
      <c r="E397" s="395"/>
      <c r="F397" s="395"/>
      <c r="G397" s="341" t="s">
        <v>172</v>
      </c>
      <c r="H397" s="39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7"/>
      <c r="S397" s="354" t="s">
        <v>173</v>
      </c>
      <c r="T397" s="360"/>
      <c r="U397" s="360"/>
      <c r="V397" s="360"/>
      <c r="W397" s="360"/>
      <c r="X397" s="360"/>
      <c r="Y397" s="361"/>
    </row>
    <row r="398" spans="1:25" s="59" customFormat="1" ht="12.75">
      <c r="A398" s="60" t="s">
        <v>0</v>
      </c>
      <c r="B398" s="60" t="s">
        <v>174</v>
      </c>
      <c r="C398" s="60" t="s">
        <v>156</v>
      </c>
      <c r="D398" s="60" t="s">
        <v>157</v>
      </c>
      <c r="E398" s="353" t="s">
        <v>175</v>
      </c>
      <c r="F398" s="353"/>
      <c r="G398" s="63" t="s">
        <v>0</v>
      </c>
      <c r="H398" s="64" t="s">
        <v>174</v>
      </c>
      <c r="I398" s="354" t="s">
        <v>156</v>
      </c>
      <c r="J398" s="360"/>
      <c r="K398" s="360"/>
      <c r="L398" s="361"/>
      <c r="M398" s="391" t="s">
        <v>157</v>
      </c>
      <c r="N398" s="392"/>
      <c r="O398" s="392"/>
      <c r="P398" s="393"/>
      <c r="Q398" s="354" t="s">
        <v>175</v>
      </c>
      <c r="R398" s="361"/>
      <c r="S398" s="72"/>
      <c r="T398" s="73"/>
      <c r="U398" s="73"/>
      <c r="V398" s="57"/>
      <c r="W398" s="57"/>
      <c r="X398" s="57"/>
      <c r="Y398" s="58"/>
    </row>
    <row r="399" spans="1:25" s="59" customFormat="1" ht="15.75" customHeight="1">
      <c r="A399" s="60">
        <v>1</v>
      </c>
      <c r="B399" s="71"/>
      <c r="C399" s="74"/>
      <c r="D399" s="74"/>
      <c r="E399" s="384"/>
      <c r="F399" s="385"/>
      <c r="G399" s="75">
        <v>9</v>
      </c>
      <c r="H399" s="71"/>
      <c r="I399" s="386"/>
      <c r="J399" s="387"/>
      <c r="K399" s="387"/>
      <c r="L399" s="388"/>
      <c r="M399" s="386"/>
      <c r="N399" s="387"/>
      <c r="O399" s="387"/>
      <c r="P399" s="388"/>
      <c r="Q399" s="384"/>
      <c r="R399" s="385"/>
      <c r="S399" s="76"/>
      <c r="T399" s="77"/>
      <c r="U399" s="77"/>
      <c r="V399" s="78"/>
      <c r="W399" s="78"/>
      <c r="X399" s="78"/>
      <c r="Y399" s="79"/>
    </row>
    <row r="400" spans="1:25" s="59" customFormat="1" ht="15.75" customHeight="1">
      <c r="A400" s="60">
        <v>2</v>
      </c>
      <c r="B400" s="71"/>
      <c r="C400" s="74"/>
      <c r="D400" s="74"/>
      <c r="E400" s="384"/>
      <c r="F400" s="385"/>
      <c r="G400" s="75">
        <v>10</v>
      </c>
      <c r="H400" s="71"/>
      <c r="I400" s="386"/>
      <c r="J400" s="387"/>
      <c r="K400" s="387"/>
      <c r="L400" s="388"/>
      <c r="M400" s="386"/>
      <c r="N400" s="387"/>
      <c r="O400" s="387"/>
      <c r="P400" s="388"/>
      <c r="Q400" s="389"/>
      <c r="R400" s="390"/>
      <c r="S400" s="72"/>
      <c r="T400" s="73"/>
      <c r="U400" s="73"/>
      <c r="V400" s="57"/>
      <c r="W400" s="57"/>
      <c r="X400" s="57"/>
      <c r="Y400" s="58"/>
    </row>
    <row r="401" spans="1:25" s="59" customFormat="1" ht="15.75" customHeight="1">
      <c r="A401" s="60">
        <v>3</v>
      </c>
      <c r="B401" s="71"/>
      <c r="C401" s="74"/>
      <c r="D401" s="74"/>
      <c r="E401" s="384"/>
      <c r="F401" s="385"/>
      <c r="G401" s="75">
        <v>11</v>
      </c>
      <c r="H401" s="71"/>
      <c r="I401" s="386"/>
      <c r="J401" s="387"/>
      <c r="K401" s="387"/>
      <c r="L401" s="388"/>
      <c r="M401" s="386"/>
      <c r="N401" s="387"/>
      <c r="O401" s="387"/>
      <c r="P401" s="388"/>
      <c r="Q401" s="389"/>
      <c r="R401" s="390"/>
      <c r="S401" s="76"/>
      <c r="T401" s="77"/>
      <c r="U401" s="77"/>
      <c r="V401" s="78"/>
      <c r="W401" s="78"/>
      <c r="X401" s="78"/>
      <c r="Y401" s="79"/>
    </row>
    <row r="402" spans="1:25" s="59" customFormat="1" ht="15.75" customHeight="1">
      <c r="A402" s="60">
        <v>4</v>
      </c>
      <c r="B402" s="71"/>
      <c r="C402" s="74"/>
      <c r="D402" s="74"/>
      <c r="E402" s="384"/>
      <c r="F402" s="385"/>
      <c r="G402" s="75">
        <v>12</v>
      </c>
      <c r="H402" s="71"/>
      <c r="I402" s="386"/>
      <c r="J402" s="387"/>
      <c r="K402" s="387"/>
      <c r="L402" s="388"/>
      <c r="M402" s="386"/>
      <c r="N402" s="387"/>
      <c r="O402" s="387"/>
      <c r="P402" s="388"/>
      <c r="Q402" s="389"/>
      <c r="R402" s="390"/>
      <c r="S402" s="72"/>
      <c r="T402" s="73"/>
      <c r="U402" s="73"/>
      <c r="V402" s="57"/>
      <c r="W402" s="57"/>
      <c r="X402" s="57"/>
      <c r="Y402" s="58"/>
    </row>
    <row r="403" spans="1:25" s="59" customFormat="1" ht="15.75" customHeight="1">
      <c r="A403" s="60">
        <v>5</v>
      </c>
      <c r="B403" s="71"/>
      <c r="C403" s="74"/>
      <c r="D403" s="74"/>
      <c r="E403" s="384"/>
      <c r="F403" s="385"/>
      <c r="G403" s="75">
        <v>13</v>
      </c>
      <c r="H403" s="71"/>
      <c r="I403" s="386"/>
      <c r="J403" s="387"/>
      <c r="K403" s="387"/>
      <c r="L403" s="388"/>
      <c r="M403" s="386"/>
      <c r="N403" s="387"/>
      <c r="O403" s="387"/>
      <c r="P403" s="388"/>
      <c r="Q403" s="389"/>
      <c r="R403" s="390"/>
      <c r="S403" s="76"/>
      <c r="T403" s="77"/>
      <c r="U403" s="77"/>
      <c r="V403" s="78"/>
      <c r="W403" s="78"/>
      <c r="X403" s="78"/>
      <c r="Y403" s="79"/>
    </row>
    <row r="404" spans="1:25" s="59" customFormat="1" ht="15.75" customHeight="1">
      <c r="A404" s="60">
        <v>6</v>
      </c>
      <c r="B404" s="71"/>
      <c r="C404" s="74"/>
      <c r="D404" s="74"/>
      <c r="E404" s="384"/>
      <c r="F404" s="385"/>
      <c r="G404" s="75">
        <v>14</v>
      </c>
      <c r="H404" s="71"/>
      <c r="I404" s="386"/>
      <c r="J404" s="387"/>
      <c r="K404" s="387"/>
      <c r="L404" s="388"/>
      <c r="M404" s="386"/>
      <c r="N404" s="387"/>
      <c r="O404" s="387"/>
      <c r="P404" s="388"/>
      <c r="Q404" s="389"/>
      <c r="R404" s="390"/>
      <c r="S404" s="354" t="s">
        <v>176</v>
      </c>
      <c r="T404" s="360"/>
      <c r="U404" s="360"/>
      <c r="V404" s="360"/>
      <c r="W404" s="360"/>
      <c r="X404" s="360"/>
      <c r="Y404" s="361"/>
    </row>
    <row r="405" spans="1:25" s="59" customFormat="1" ht="15.75" customHeight="1">
      <c r="A405" s="60">
        <v>7</v>
      </c>
      <c r="B405" s="71"/>
      <c r="C405" s="74"/>
      <c r="D405" s="74"/>
      <c r="E405" s="384"/>
      <c r="F405" s="385"/>
      <c r="G405" s="75">
        <v>15</v>
      </c>
      <c r="H405" s="71"/>
      <c r="I405" s="386"/>
      <c r="J405" s="387"/>
      <c r="K405" s="387"/>
      <c r="L405" s="388"/>
      <c r="M405" s="386"/>
      <c r="N405" s="387"/>
      <c r="O405" s="387"/>
      <c r="P405" s="388"/>
      <c r="Q405" s="389"/>
      <c r="R405" s="390"/>
      <c r="S405" s="72"/>
      <c r="T405" s="73"/>
      <c r="U405" s="73"/>
      <c r="V405" s="57"/>
      <c r="W405" s="57"/>
      <c r="X405" s="57"/>
      <c r="Y405" s="58"/>
    </row>
    <row r="406" spans="1:25" s="59" customFormat="1" ht="15.75" customHeight="1">
      <c r="A406" s="60">
        <v>8</v>
      </c>
      <c r="B406" s="71"/>
      <c r="C406" s="74"/>
      <c r="D406" s="74"/>
      <c r="E406" s="384"/>
      <c r="F406" s="385"/>
      <c r="G406" s="75">
        <v>16</v>
      </c>
      <c r="H406" s="71"/>
      <c r="I406" s="386"/>
      <c r="J406" s="387"/>
      <c r="K406" s="387"/>
      <c r="L406" s="388"/>
      <c r="M406" s="386"/>
      <c r="N406" s="387"/>
      <c r="O406" s="387"/>
      <c r="P406" s="388"/>
      <c r="Q406" s="389"/>
      <c r="R406" s="390"/>
      <c r="S406" s="76"/>
      <c r="T406" s="77"/>
      <c r="U406" s="77"/>
      <c r="V406" s="78"/>
      <c r="W406" s="78"/>
      <c r="X406" s="78"/>
      <c r="Y406" s="79"/>
    </row>
    <row r="409" spans="1:25" s="59" customFormat="1" ht="20.25">
      <c r="A409" s="336" t="s">
        <v>147</v>
      </c>
      <c r="B409" s="337"/>
      <c r="C409" s="337"/>
      <c r="D409" s="337"/>
      <c r="E409" s="337"/>
      <c r="F409" s="337"/>
      <c r="G409" s="337"/>
      <c r="H409" s="337"/>
      <c r="I409" s="337"/>
      <c r="J409" s="337"/>
      <c r="K409" s="337"/>
      <c r="L409" s="337"/>
      <c r="M409" s="337"/>
      <c r="N409" s="337"/>
      <c r="O409" s="337"/>
      <c r="P409" s="337"/>
      <c r="Q409" s="337"/>
      <c r="R409" s="337"/>
      <c r="S409" s="337"/>
      <c r="T409" s="337"/>
      <c r="U409" s="337"/>
      <c r="V409" s="337"/>
      <c r="W409" s="337"/>
      <c r="X409" s="337"/>
      <c r="Y409" s="338"/>
    </row>
    <row r="410" spans="1:25" s="59" customFormat="1" ht="15.75" customHeight="1">
      <c r="A410" s="339" t="s">
        <v>148</v>
      </c>
      <c r="B410" s="340"/>
      <c r="C410" s="341" t="s">
        <v>177</v>
      </c>
      <c r="D410" s="342"/>
      <c r="E410" s="339" t="s">
        <v>149</v>
      </c>
      <c r="F410" s="343"/>
      <c r="G410" s="340"/>
      <c r="H410" s="341" t="s">
        <v>365</v>
      </c>
      <c r="I410" s="344"/>
      <c r="J410" s="345"/>
      <c r="K410" s="345"/>
      <c r="L410" s="346"/>
      <c r="M410" s="347" t="s">
        <v>150</v>
      </c>
      <c r="N410" s="348"/>
      <c r="O410" s="349"/>
      <c r="P410" s="350" t="s">
        <v>368</v>
      </c>
      <c r="Q410" s="351"/>
      <c r="R410" s="351"/>
      <c r="S410" s="351"/>
      <c r="T410" s="351"/>
      <c r="U410" s="351"/>
      <c r="V410" s="351"/>
      <c r="W410" s="351"/>
      <c r="X410" s="351"/>
      <c r="Y410" s="352"/>
    </row>
    <row r="411" spans="1:25" s="59" customFormat="1" ht="15.75" customHeight="1">
      <c r="A411" s="339" t="s">
        <v>179</v>
      </c>
      <c r="B411" s="340"/>
      <c r="C411" s="377" t="s">
        <v>203</v>
      </c>
      <c r="D411" s="378"/>
      <c r="E411" s="339" t="s">
        <v>151</v>
      </c>
      <c r="F411" s="343"/>
      <c r="G411" s="340"/>
      <c r="H411" s="379" t="s">
        <v>204</v>
      </c>
      <c r="I411" s="380"/>
      <c r="J411" s="339" t="s">
        <v>152</v>
      </c>
      <c r="K411" s="343"/>
      <c r="L411" s="340"/>
      <c r="M411" s="381"/>
      <c r="N411" s="375"/>
      <c r="O411" s="376"/>
      <c r="P411" s="373" t="s">
        <v>153</v>
      </c>
      <c r="Q411" s="374"/>
      <c r="R411" s="375"/>
      <c r="S411" s="375"/>
      <c r="T411" s="375" t="e">
        <f>VLOOKUP(I409,eventslist,4,FALSE)</f>
        <v>#NAME?</v>
      </c>
      <c r="U411" s="375"/>
      <c r="V411" s="375" t="e">
        <f>VLOOKUP(K409,eventslist,4,FALSE)</f>
        <v>#NAME?</v>
      </c>
      <c r="W411" s="375"/>
      <c r="X411" s="375" t="e">
        <f>VLOOKUP(M409,eventslist,4,FALSE)</f>
        <v>#NAME?</v>
      </c>
      <c r="Y411" s="376"/>
    </row>
    <row r="412" spans="1:25" s="59" customFormat="1" ht="31.5" customHeight="1">
      <c r="A412" s="60" t="s">
        <v>154</v>
      </c>
      <c r="B412" s="60" t="s">
        <v>155</v>
      </c>
      <c r="C412" s="61" t="s">
        <v>156</v>
      </c>
      <c r="D412" s="62" t="s">
        <v>157</v>
      </c>
      <c r="E412" s="362" t="s">
        <v>158</v>
      </c>
      <c r="F412" s="357"/>
      <c r="G412" s="357" t="s">
        <v>159</v>
      </c>
      <c r="H412" s="357"/>
      <c r="I412" s="357" t="s">
        <v>160</v>
      </c>
      <c r="J412" s="357"/>
      <c r="K412" s="357" t="s">
        <v>161</v>
      </c>
      <c r="L412" s="357"/>
      <c r="M412" s="355" t="s">
        <v>162</v>
      </c>
      <c r="N412" s="357" t="s">
        <v>163</v>
      </c>
      <c r="O412" s="357"/>
      <c r="P412" s="357" t="s">
        <v>164</v>
      </c>
      <c r="Q412" s="357"/>
      <c r="R412" s="357" t="s">
        <v>165</v>
      </c>
      <c r="S412" s="357"/>
      <c r="T412" s="357" t="s">
        <v>166</v>
      </c>
      <c r="U412" s="358"/>
      <c r="V412" s="359" t="s">
        <v>167</v>
      </c>
      <c r="W412" s="354" t="s">
        <v>168</v>
      </c>
      <c r="X412" s="360"/>
      <c r="Y412" s="361"/>
    </row>
    <row r="413" spans="1:25" s="59" customFormat="1" ht="12.75">
      <c r="A413" s="63"/>
      <c r="B413" s="63"/>
      <c r="C413" s="120" t="s">
        <v>392</v>
      </c>
      <c r="D413" s="370" t="s">
        <v>420</v>
      </c>
      <c r="E413" s="371"/>
      <c r="F413" s="372"/>
      <c r="G413" s="353" t="s">
        <v>169</v>
      </c>
      <c r="H413" s="353"/>
      <c r="I413" s="353" t="s">
        <v>169</v>
      </c>
      <c r="J413" s="353"/>
      <c r="K413" s="353" t="s">
        <v>169</v>
      </c>
      <c r="L413" s="353"/>
      <c r="M413" s="356"/>
      <c r="N413" s="353" t="s">
        <v>169</v>
      </c>
      <c r="O413" s="353"/>
      <c r="P413" s="353" t="s">
        <v>169</v>
      </c>
      <c r="Q413" s="353"/>
      <c r="R413" s="353" t="s">
        <v>169</v>
      </c>
      <c r="S413" s="353"/>
      <c r="T413" s="353" t="s">
        <v>169</v>
      </c>
      <c r="U413" s="354"/>
      <c r="V413" s="355"/>
      <c r="W413" s="60"/>
      <c r="X413" s="60" t="s">
        <v>170</v>
      </c>
      <c r="Y413" s="60" t="s">
        <v>171</v>
      </c>
    </row>
    <row r="414" spans="1:25" s="59" customFormat="1" ht="15.75" customHeight="1">
      <c r="A414" s="63">
        <v>1</v>
      </c>
      <c r="B414" s="119">
        <v>1</v>
      </c>
      <c r="C414" s="122" t="s">
        <v>595</v>
      </c>
      <c r="D414" s="122" t="s">
        <v>20</v>
      </c>
      <c r="E414" s="366"/>
      <c r="F414" s="367"/>
      <c r="G414" s="366"/>
      <c r="H414" s="367"/>
      <c r="I414" s="366"/>
      <c r="J414" s="367"/>
      <c r="K414" s="368"/>
      <c r="L414" s="369"/>
      <c r="M414" s="67"/>
      <c r="N414" s="366"/>
      <c r="O414" s="367"/>
      <c r="P414" s="366"/>
      <c r="Q414" s="367"/>
      <c r="R414" s="366"/>
      <c r="S414" s="367"/>
      <c r="T414" s="368"/>
      <c r="U414" s="369"/>
      <c r="V414" s="67"/>
      <c r="W414" s="68"/>
      <c r="X414" s="68"/>
      <c r="Y414" s="68"/>
    </row>
    <row r="415" spans="1:25" s="59" customFormat="1" ht="15.75" customHeight="1">
      <c r="A415" s="60">
        <v>2</v>
      </c>
      <c r="B415" s="119">
        <v>2</v>
      </c>
      <c r="C415" s="122" t="s">
        <v>596</v>
      </c>
      <c r="D415" s="122" t="s">
        <v>20</v>
      </c>
      <c r="E415" s="366"/>
      <c r="F415" s="367"/>
      <c r="G415" s="366"/>
      <c r="H415" s="367"/>
      <c r="I415" s="366"/>
      <c r="J415" s="367"/>
      <c r="K415" s="368"/>
      <c r="L415" s="369"/>
      <c r="M415" s="67"/>
      <c r="N415" s="366"/>
      <c r="O415" s="367"/>
      <c r="P415" s="366"/>
      <c r="Q415" s="367"/>
      <c r="R415" s="366"/>
      <c r="S415" s="367"/>
      <c r="T415" s="368"/>
      <c r="U415" s="369"/>
      <c r="V415" s="67"/>
      <c r="W415" s="68"/>
      <c r="X415" s="68"/>
      <c r="Y415" s="68"/>
    </row>
    <row r="416" spans="1:25" s="59" customFormat="1" ht="15.75" customHeight="1">
      <c r="A416" s="60">
        <v>3</v>
      </c>
      <c r="B416" s="119">
        <v>3</v>
      </c>
      <c r="C416" s="122" t="s">
        <v>597</v>
      </c>
      <c r="D416" s="122" t="s">
        <v>16</v>
      </c>
      <c r="E416" s="366"/>
      <c r="F416" s="367"/>
      <c r="G416" s="366"/>
      <c r="H416" s="367"/>
      <c r="I416" s="366"/>
      <c r="J416" s="367"/>
      <c r="K416" s="368"/>
      <c r="L416" s="369"/>
      <c r="M416" s="67"/>
      <c r="N416" s="366"/>
      <c r="O416" s="367"/>
      <c r="P416" s="366"/>
      <c r="Q416" s="367"/>
      <c r="R416" s="366"/>
      <c r="S416" s="367"/>
      <c r="T416" s="368"/>
      <c r="U416" s="369"/>
      <c r="V416" s="67"/>
      <c r="W416" s="68"/>
      <c r="X416" s="68"/>
      <c r="Y416" s="68"/>
    </row>
    <row r="417" spans="1:25" s="59" customFormat="1" ht="15.75" customHeight="1">
      <c r="A417" s="60">
        <v>4</v>
      </c>
      <c r="B417" s="119">
        <v>4</v>
      </c>
      <c r="C417" s="122" t="s">
        <v>598</v>
      </c>
      <c r="D417" s="122" t="s">
        <v>16</v>
      </c>
      <c r="E417" s="366"/>
      <c r="F417" s="367"/>
      <c r="G417" s="366"/>
      <c r="H417" s="367"/>
      <c r="I417" s="366"/>
      <c r="J417" s="367"/>
      <c r="K417" s="368"/>
      <c r="L417" s="369"/>
      <c r="M417" s="67"/>
      <c r="N417" s="366"/>
      <c r="O417" s="367"/>
      <c r="P417" s="366"/>
      <c r="Q417" s="367"/>
      <c r="R417" s="366"/>
      <c r="S417" s="367"/>
      <c r="T417" s="368"/>
      <c r="U417" s="369"/>
      <c r="V417" s="67"/>
      <c r="W417" s="68"/>
      <c r="X417" s="68"/>
      <c r="Y417" s="68"/>
    </row>
    <row r="418" spans="1:25" s="59" customFormat="1" ht="15.75" customHeight="1">
      <c r="A418" s="60">
        <v>5</v>
      </c>
      <c r="B418" s="119">
        <v>7</v>
      </c>
      <c r="C418" s="122" t="s">
        <v>601</v>
      </c>
      <c r="D418" s="122" t="s">
        <v>22</v>
      </c>
      <c r="E418" s="366"/>
      <c r="F418" s="367"/>
      <c r="G418" s="366"/>
      <c r="H418" s="367"/>
      <c r="I418" s="366"/>
      <c r="J418" s="367"/>
      <c r="K418" s="368"/>
      <c r="L418" s="369"/>
      <c r="M418" s="67"/>
      <c r="N418" s="366"/>
      <c r="O418" s="367"/>
      <c r="P418" s="366"/>
      <c r="Q418" s="367"/>
      <c r="R418" s="366"/>
      <c r="S418" s="367"/>
      <c r="T418" s="368"/>
      <c r="U418" s="369"/>
      <c r="V418" s="67"/>
      <c r="W418" s="68"/>
      <c r="X418" s="68"/>
      <c r="Y418" s="68"/>
    </row>
    <row r="419" spans="1:25" s="59" customFormat="1" ht="15.75" customHeight="1">
      <c r="A419" s="60">
        <v>6</v>
      </c>
      <c r="B419" s="119">
        <v>9</v>
      </c>
      <c r="C419" s="122" t="s">
        <v>602</v>
      </c>
      <c r="D419" s="122" t="s">
        <v>92</v>
      </c>
      <c r="E419" s="366"/>
      <c r="F419" s="367"/>
      <c r="G419" s="366"/>
      <c r="H419" s="367"/>
      <c r="I419" s="366"/>
      <c r="J419" s="367"/>
      <c r="K419" s="368"/>
      <c r="L419" s="369"/>
      <c r="M419" s="67"/>
      <c r="N419" s="366"/>
      <c r="O419" s="367"/>
      <c r="P419" s="366"/>
      <c r="Q419" s="367"/>
      <c r="R419" s="366"/>
      <c r="S419" s="367"/>
      <c r="T419" s="368"/>
      <c r="U419" s="369"/>
      <c r="V419" s="67"/>
      <c r="W419" s="68"/>
      <c r="X419" s="68"/>
      <c r="Y419" s="68"/>
    </row>
    <row r="420" spans="1:25" s="59" customFormat="1" ht="15.75" customHeight="1">
      <c r="A420" s="60">
        <v>7</v>
      </c>
      <c r="B420" s="119">
        <v>11</v>
      </c>
      <c r="C420" s="122" t="s">
        <v>603</v>
      </c>
      <c r="D420" s="122" t="s">
        <v>19</v>
      </c>
      <c r="E420" s="366"/>
      <c r="F420" s="367"/>
      <c r="G420" s="366"/>
      <c r="H420" s="367"/>
      <c r="I420" s="366"/>
      <c r="J420" s="367"/>
      <c r="K420" s="368"/>
      <c r="L420" s="369"/>
      <c r="M420" s="67"/>
      <c r="N420" s="366"/>
      <c r="O420" s="367"/>
      <c r="P420" s="366"/>
      <c r="Q420" s="367"/>
      <c r="R420" s="366"/>
      <c r="S420" s="367"/>
      <c r="T420" s="368"/>
      <c r="U420" s="369"/>
      <c r="V420" s="67"/>
      <c r="W420" s="68"/>
      <c r="X420" s="68"/>
      <c r="Y420" s="68"/>
    </row>
    <row r="421" spans="1:25" s="59" customFormat="1" ht="15.75" customHeight="1">
      <c r="A421" s="60">
        <v>8</v>
      </c>
      <c r="B421" s="119">
        <v>12</v>
      </c>
      <c r="C421" s="122" t="s">
        <v>604</v>
      </c>
      <c r="D421" s="122" t="s">
        <v>19</v>
      </c>
      <c r="E421" s="366"/>
      <c r="F421" s="367"/>
      <c r="G421" s="366"/>
      <c r="H421" s="367"/>
      <c r="I421" s="366"/>
      <c r="J421" s="367"/>
      <c r="K421" s="368"/>
      <c r="L421" s="369"/>
      <c r="M421" s="67"/>
      <c r="N421" s="366"/>
      <c r="O421" s="367"/>
      <c r="P421" s="366"/>
      <c r="Q421" s="367"/>
      <c r="R421" s="366"/>
      <c r="S421" s="367"/>
      <c r="T421" s="368"/>
      <c r="U421" s="369"/>
      <c r="V421" s="67"/>
      <c r="W421" s="68"/>
      <c r="X421" s="68"/>
      <c r="Y421" s="68"/>
    </row>
    <row r="422" spans="1:25" s="59" customFormat="1" ht="15.75" customHeight="1">
      <c r="A422" s="60">
        <v>9</v>
      </c>
      <c r="B422" s="119">
        <v>5</v>
      </c>
      <c r="C422" s="122" t="s">
        <v>599</v>
      </c>
      <c r="D422" s="122" t="s">
        <v>18</v>
      </c>
      <c r="E422" s="366"/>
      <c r="F422" s="367"/>
      <c r="G422" s="366"/>
      <c r="H422" s="367"/>
      <c r="I422" s="366"/>
      <c r="J422" s="367"/>
      <c r="K422" s="368"/>
      <c r="L422" s="369"/>
      <c r="M422" s="67"/>
      <c r="N422" s="366"/>
      <c r="O422" s="367"/>
      <c r="P422" s="366"/>
      <c r="Q422" s="367"/>
      <c r="R422" s="366"/>
      <c r="S422" s="367"/>
      <c r="T422" s="368"/>
      <c r="U422" s="369"/>
      <c r="V422" s="67"/>
      <c r="W422" s="68"/>
      <c r="X422" s="68"/>
      <c r="Y422" s="68"/>
    </row>
    <row r="423" spans="1:25" s="59" customFormat="1" ht="15.75" customHeight="1">
      <c r="A423" s="60">
        <v>10</v>
      </c>
      <c r="B423" s="119">
        <v>6</v>
      </c>
      <c r="C423" s="122" t="s">
        <v>600</v>
      </c>
      <c r="D423" s="122" t="s">
        <v>18</v>
      </c>
      <c r="E423" s="366"/>
      <c r="F423" s="367"/>
      <c r="G423" s="366"/>
      <c r="H423" s="367"/>
      <c r="I423" s="366"/>
      <c r="J423" s="367"/>
      <c r="K423" s="368"/>
      <c r="L423" s="369"/>
      <c r="M423" s="67"/>
      <c r="N423" s="366"/>
      <c r="O423" s="367"/>
      <c r="P423" s="366"/>
      <c r="Q423" s="367"/>
      <c r="R423" s="366"/>
      <c r="S423" s="367"/>
      <c r="T423" s="368"/>
      <c r="U423" s="369"/>
      <c r="V423" s="67"/>
      <c r="W423" s="68"/>
      <c r="X423" s="68"/>
      <c r="Y423" s="68"/>
    </row>
    <row r="424" spans="1:25" s="59" customFormat="1" ht="15.75" customHeight="1">
      <c r="A424" s="60"/>
      <c r="B424" s="211"/>
      <c r="C424" s="211"/>
      <c r="D424" s="211"/>
      <c r="E424" s="366"/>
      <c r="F424" s="367"/>
      <c r="G424" s="366"/>
      <c r="H424" s="367"/>
      <c r="I424" s="366"/>
      <c r="J424" s="367"/>
      <c r="K424" s="368"/>
      <c r="L424" s="369"/>
      <c r="M424" s="67"/>
      <c r="N424" s="366"/>
      <c r="O424" s="367"/>
      <c r="P424" s="366"/>
      <c r="Q424" s="367"/>
      <c r="R424" s="366"/>
      <c r="S424" s="367"/>
      <c r="T424" s="368"/>
      <c r="U424" s="369"/>
      <c r="V424" s="67"/>
      <c r="W424" s="68"/>
      <c r="X424" s="68"/>
      <c r="Y424" s="68"/>
    </row>
    <row r="425" spans="1:25" s="59" customFormat="1" ht="15.75" customHeight="1">
      <c r="A425" s="60"/>
      <c r="B425" s="119"/>
      <c r="C425" s="119"/>
      <c r="D425" s="119"/>
      <c r="E425" s="366"/>
      <c r="F425" s="367"/>
      <c r="G425" s="366"/>
      <c r="H425" s="367"/>
      <c r="I425" s="366"/>
      <c r="J425" s="367"/>
      <c r="K425" s="368"/>
      <c r="L425" s="369"/>
      <c r="M425" s="67"/>
      <c r="N425" s="366"/>
      <c r="O425" s="367"/>
      <c r="P425" s="366"/>
      <c r="Q425" s="367"/>
      <c r="R425" s="366"/>
      <c r="S425" s="367"/>
      <c r="T425" s="368"/>
      <c r="U425" s="369"/>
      <c r="V425" s="67"/>
      <c r="W425" s="68"/>
      <c r="X425" s="68"/>
      <c r="Y425" s="68"/>
    </row>
    <row r="426" spans="1:25" s="59" customFormat="1" ht="15.75" customHeight="1">
      <c r="A426" s="60"/>
      <c r="B426" s="119"/>
      <c r="C426" s="121" t="s">
        <v>393</v>
      </c>
      <c r="D426" s="370" t="s">
        <v>421</v>
      </c>
      <c r="E426" s="371"/>
      <c r="F426" s="372"/>
      <c r="G426" s="366"/>
      <c r="H426" s="367"/>
      <c r="I426" s="366"/>
      <c r="J426" s="367"/>
      <c r="K426" s="368"/>
      <c r="L426" s="369"/>
      <c r="M426" s="67"/>
      <c r="N426" s="366"/>
      <c r="O426" s="367"/>
      <c r="P426" s="366"/>
      <c r="Q426" s="367"/>
      <c r="R426" s="366"/>
      <c r="S426" s="367"/>
      <c r="T426" s="368"/>
      <c r="U426" s="369"/>
      <c r="V426" s="67"/>
      <c r="W426" s="68"/>
      <c r="X426" s="68"/>
      <c r="Y426" s="68"/>
    </row>
    <row r="427" spans="1:25" s="59" customFormat="1" ht="15.75" customHeight="1">
      <c r="A427" s="60">
        <v>11</v>
      </c>
      <c r="B427" s="119">
        <v>1</v>
      </c>
      <c r="C427" s="122" t="s">
        <v>605</v>
      </c>
      <c r="D427" s="119" t="s">
        <v>20</v>
      </c>
      <c r="E427" s="366"/>
      <c r="F427" s="367"/>
      <c r="G427" s="366"/>
      <c r="H427" s="367"/>
      <c r="I427" s="366"/>
      <c r="J427" s="367"/>
      <c r="K427" s="368"/>
      <c r="L427" s="369"/>
      <c r="M427" s="67"/>
      <c r="N427" s="366"/>
      <c r="O427" s="367"/>
      <c r="P427" s="366"/>
      <c r="Q427" s="367"/>
      <c r="R427" s="366"/>
      <c r="S427" s="367"/>
      <c r="T427" s="368"/>
      <c r="U427" s="369"/>
      <c r="V427" s="67"/>
      <c r="W427" s="68"/>
      <c r="X427" s="68"/>
      <c r="Y427" s="68"/>
    </row>
    <row r="428" spans="1:25" s="59" customFormat="1" ht="15.75" customHeight="1">
      <c r="A428" s="60">
        <v>12</v>
      </c>
      <c r="B428" s="119">
        <v>11</v>
      </c>
      <c r="C428" s="122" t="s">
        <v>606</v>
      </c>
      <c r="D428" s="119" t="s">
        <v>19</v>
      </c>
      <c r="E428" s="366"/>
      <c r="F428" s="367"/>
      <c r="G428" s="366"/>
      <c r="H428" s="367"/>
      <c r="I428" s="366"/>
      <c r="J428" s="367"/>
      <c r="K428" s="368"/>
      <c r="L428" s="369"/>
      <c r="M428" s="67"/>
      <c r="N428" s="366"/>
      <c r="O428" s="367"/>
      <c r="P428" s="366"/>
      <c r="Q428" s="367"/>
      <c r="R428" s="366"/>
      <c r="S428" s="367"/>
      <c r="T428" s="368"/>
      <c r="U428" s="369"/>
      <c r="V428" s="67"/>
      <c r="W428" s="68"/>
      <c r="X428" s="68"/>
      <c r="Y428" s="68"/>
    </row>
    <row r="429" spans="1:25" s="59" customFormat="1" ht="15.75" customHeight="1">
      <c r="A429" s="60"/>
      <c r="B429" s="119"/>
      <c r="C429" s="119"/>
      <c r="D429" s="119"/>
      <c r="E429" s="366"/>
      <c r="F429" s="367"/>
      <c r="G429" s="366"/>
      <c r="H429" s="367"/>
      <c r="I429" s="366"/>
      <c r="J429" s="367"/>
      <c r="K429" s="368"/>
      <c r="L429" s="369"/>
      <c r="M429" s="67"/>
      <c r="N429" s="366"/>
      <c r="O429" s="367"/>
      <c r="P429" s="366"/>
      <c r="Q429" s="367"/>
      <c r="R429" s="366"/>
      <c r="S429" s="367"/>
      <c r="T429" s="368"/>
      <c r="U429" s="369"/>
      <c r="V429" s="67"/>
      <c r="W429" s="68"/>
      <c r="X429" s="68"/>
      <c r="Y429" s="68"/>
    </row>
    <row r="430" spans="1:4" s="59" customFormat="1" ht="12.75">
      <c r="A430" s="69"/>
      <c r="C430" s="70"/>
      <c r="D430" s="70"/>
    </row>
    <row r="431" spans="1:25" s="59" customFormat="1" ht="12.75">
      <c r="A431" s="394" t="s">
        <v>172</v>
      </c>
      <c r="B431" s="395"/>
      <c r="C431" s="395"/>
      <c r="D431" s="395"/>
      <c r="E431" s="395"/>
      <c r="F431" s="395"/>
      <c r="G431" s="341" t="s">
        <v>172</v>
      </c>
      <c r="H431" s="396"/>
      <c r="I431" s="396"/>
      <c r="J431" s="396"/>
      <c r="K431" s="396"/>
      <c r="L431" s="396"/>
      <c r="M431" s="396"/>
      <c r="N431" s="396"/>
      <c r="O431" s="396"/>
      <c r="P431" s="396"/>
      <c r="Q431" s="396"/>
      <c r="R431" s="397"/>
      <c r="S431" s="354" t="s">
        <v>173</v>
      </c>
      <c r="T431" s="360"/>
      <c r="U431" s="360"/>
      <c r="V431" s="360"/>
      <c r="W431" s="360"/>
      <c r="X431" s="360"/>
      <c r="Y431" s="361"/>
    </row>
    <row r="432" spans="1:25" s="59" customFormat="1" ht="12.75">
      <c r="A432" s="60" t="s">
        <v>0</v>
      </c>
      <c r="B432" s="60" t="s">
        <v>174</v>
      </c>
      <c r="C432" s="60" t="s">
        <v>156</v>
      </c>
      <c r="D432" s="60" t="s">
        <v>157</v>
      </c>
      <c r="E432" s="353" t="s">
        <v>175</v>
      </c>
      <c r="F432" s="353"/>
      <c r="G432" s="63" t="s">
        <v>0</v>
      </c>
      <c r="H432" s="64" t="s">
        <v>174</v>
      </c>
      <c r="I432" s="354" t="s">
        <v>156</v>
      </c>
      <c r="J432" s="360"/>
      <c r="K432" s="360"/>
      <c r="L432" s="361"/>
      <c r="M432" s="391" t="s">
        <v>157</v>
      </c>
      <c r="N432" s="392"/>
      <c r="O432" s="392"/>
      <c r="P432" s="393"/>
      <c r="Q432" s="354" t="s">
        <v>175</v>
      </c>
      <c r="R432" s="361"/>
      <c r="S432" s="72"/>
      <c r="T432" s="73"/>
      <c r="U432" s="73"/>
      <c r="V432" s="57"/>
      <c r="W432" s="57"/>
      <c r="X432" s="57"/>
      <c r="Y432" s="58"/>
    </row>
    <row r="433" spans="1:25" s="59" customFormat="1" ht="15.75" customHeight="1">
      <c r="A433" s="60">
        <v>1</v>
      </c>
      <c r="B433" s="71"/>
      <c r="C433" s="74"/>
      <c r="D433" s="74"/>
      <c r="E433" s="384"/>
      <c r="F433" s="385"/>
      <c r="G433" s="75">
        <v>9</v>
      </c>
      <c r="H433" s="71"/>
      <c r="I433" s="386"/>
      <c r="J433" s="387"/>
      <c r="K433" s="387"/>
      <c r="L433" s="388"/>
      <c r="M433" s="386"/>
      <c r="N433" s="387"/>
      <c r="O433" s="387"/>
      <c r="P433" s="388"/>
      <c r="Q433" s="384"/>
      <c r="R433" s="385"/>
      <c r="S433" s="76"/>
      <c r="T433" s="77"/>
      <c r="U433" s="77"/>
      <c r="V433" s="78"/>
      <c r="W433" s="78"/>
      <c r="X433" s="78"/>
      <c r="Y433" s="79"/>
    </row>
    <row r="434" spans="1:25" s="59" customFormat="1" ht="15.75" customHeight="1">
      <c r="A434" s="60">
        <v>2</v>
      </c>
      <c r="B434" s="71"/>
      <c r="C434" s="74"/>
      <c r="D434" s="74"/>
      <c r="E434" s="384"/>
      <c r="F434" s="385"/>
      <c r="G434" s="75">
        <v>10</v>
      </c>
      <c r="H434" s="71"/>
      <c r="I434" s="386"/>
      <c r="J434" s="387"/>
      <c r="K434" s="387"/>
      <c r="L434" s="388"/>
      <c r="M434" s="386"/>
      <c r="N434" s="387"/>
      <c r="O434" s="387"/>
      <c r="P434" s="388"/>
      <c r="Q434" s="389"/>
      <c r="R434" s="390"/>
      <c r="S434" s="72"/>
      <c r="T434" s="73"/>
      <c r="U434" s="73"/>
      <c r="V434" s="57"/>
      <c r="W434" s="57"/>
      <c r="X434" s="57"/>
      <c r="Y434" s="58"/>
    </row>
    <row r="435" spans="1:25" s="59" customFormat="1" ht="15.75" customHeight="1">
      <c r="A435" s="60">
        <v>3</v>
      </c>
      <c r="B435" s="71"/>
      <c r="C435" s="74"/>
      <c r="D435" s="74"/>
      <c r="E435" s="384"/>
      <c r="F435" s="385"/>
      <c r="G435" s="75">
        <v>11</v>
      </c>
      <c r="H435" s="71"/>
      <c r="I435" s="386"/>
      <c r="J435" s="387"/>
      <c r="K435" s="387"/>
      <c r="L435" s="388"/>
      <c r="M435" s="386"/>
      <c r="N435" s="387"/>
      <c r="O435" s="387"/>
      <c r="P435" s="388"/>
      <c r="Q435" s="389"/>
      <c r="R435" s="390"/>
      <c r="S435" s="76"/>
      <c r="T435" s="77"/>
      <c r="U435" s="77"/>
      <c r="V435" s="78"/>
      <c r="W435" s="78"/>
      <c r="X435" s="78"/>
      <c r="Y435" s="79"/>
    </row>
    <row r="436" spans="1:25" s="59" customFormat="1" ht="15.75" customHeight="1">
      <c r="A436" s="60">
        <v>4</v>
      </c>
      <c r="B436" s="71"/>
      <c r="C436" s="74"/>
      <c r="D436" s="74"/>
      <c r="E436" s="384"/>
      <c r="F436" s="385"/>
      <c r="G436" s="75">
        <v>12</v>
      </c>
      <c r="H436" s="71"/>
      <c r="I436" s="386"/>
      <c r="J436" s="387"/>
      <c r="K436" s="387"/>
      <c r="L436" s="388"/>
      <c r="M436" s="386"/>
      <c r="N436" s="387"/>
      <c r="O436" s="387"/>
      <c r="P436" s="388"/>
      <c r="Q436" s="389"/>
      <c r="R436" s="390"/>
      <c r="S436" s="72"/>
      <c r="T436" s="73"/>
      <c r="U436" s="73"/>
      <c r="V436" s="57"/>
      <c r="W436" s="57"/>
      <c r="X436" s="57"/>
      <c r="Y436" s="58"/>
    </row>
    <row r="437" spans="1:25" s="59" customFormat="1" ht="15.75" customHeight="1">
      <c r="A437" s="60">
        <v>5</v>
      </c>
      <c r="B437" s="71"/>
      <c r="C437" s="74"/>
      <c r="D437" s="74"/>
      <c r="E437" s="384"/>
      <c r="F437" s="385"/>
      <c r="G437" s="75">
        <v>13</v>
      </c>
      <c r="H437" s="71"/>
      <c r="I437" s="386"/>
      <c r="J437" s="387"/>
      <c r="K437" s="387"/>
      <c r="L437" s="388"/>
      <c r="M437" s="386"/>
      <c r="N437" s="387"/>
      <c r="O437" s="387"/>
      <c r="P437" s="388"/>
      <c r="Q437" s="389"/>
      <c r="R437" s="390"/>
      <c r="S437" s="76"/>
      <c r="T437" s="77"/>
      <c r="U437" s="77"/>
      <c r="V437" s="78"/>
      <c r="W437" s="78"/>
      <c r="X437" s="78"/>
      <c r="Y437" s="79"/>
    </row>
    <row r="438" spans="1:25" s="59" customFormat="1" ht="15.75" customHeight="1">
      <c r="A438" s="60">
        <v>6</v>
      </c>
      <c r="B438" s="71"/>
      <c r="C438" s="74"/>
      <c r="D438" s="74"/>
      <c r="E438" s="384"/>
      <c r="F438" s="385"/>
      <c r="G438" s="75">
        <v>14</v>
      </c>
      <c r="H438" s="71"/>
      <c r="I438" s="386"/>
      <c r="J438" s="387"/>
      <c r="K438" s="387"/>
      <c r="L438" s="388"/>
      <c r="M438" s="386"/>
      <c r="N438" s="387"/>
      <c r="O438" s="387"/>
      <c r="P438" s="388"/>
      <c r="Q438" s="389"/>
      <c r="R438" s="390"/>
      <c r="S438" s="354" t="s">
        <v>176</v>
      </c>
      <c r="T438" s="360"/>
      <c r="U438" s="360"/>
      <c r="V438" s="360"/>
      <c r="W438" s="360"/>
      <c r="X438" s="360"/>
      <c r="Y438" s="361"/>
    </row>
    <row r="439" spans="1:25" s="59" customFormat="1" ht="15.75" customHeight="1">
      <c r="A439" s="60">
        <v>7</v>
      </c>
      <c r="B439" s="71"/>
      <c r="C439" s="74"/>
      <c r="D439" s="74"/>
      <c r="E439" s="384"/>
      <c r="F439" s="385"/>
      <c r="G439" s="75">
        <v>15</v>
      </c>
      <c r="H439" s="71"/>
      <c r="I439" s="386"/>
      <c r="J439" s="387"/>
      <c r="K439" s="387"/>
      <c r="L439" s="388"/>
      <c r="M439" s="386"/>
      <c r="N439" s="387"/>
      <c r="O439" s="387"/>
      <c r="P439" s="388"/>
      <c r="Q439" s="389"/>
      <c r="R439" s="390"/>
      <c r="S439" s="72"/>
      <c r="T439" s="73"/>
      <c r="U439" s="73"/>
      <c r="V439" s="57"/>
      <c r="W439" s="57"/>
      <c r="X439" s="57"/>
      <c r="Y439" s="58"/>
    </row>
    <row r="440" spans="1:25" s="59" customFormat="1" ht="15.75" customHeight="1">
      <c r="A440" s="60">
        <v>8</v>
      </c>
      <c r="B440" s="71"/>
      <c r="C440" s="74"/>
      <c r="D440" s="74"/>
      <c r="E440" s="384"/>
      <c r="F440" s="385"/>
      <c r="G440" s="75">
        <v>16</v>
      </c>
      <c r="H440" s="71"/>
      <c r="I440" s="386"/>
      <c r="J440" s="387"/>
      <c r="K440" s="387"/>
      <c r="L440" s="388"/>
      <c r="M440" s="386"/>
      <c r="N440" s="387"/>
      <c r="O440" s="387"/>
      <c r="P440" s="388"/>
      <c r="Q440" s="389"/>
      <c r="R440" s="390"/>
      <c r="S440" s="76"/>
      <c r="T440" s="77"/>
      <c r="U440" s="77"/>
      <c r="V440" s="78"/>
      <c r="W440" s="78"/>
      <c r="X440" s="78"/>
      <c r="Y440" s="79"/>
    </row>
    <row r="443" spans="1:25" s="59" customFormat="1" ht="20.25">
      <c r="A443" s="336" t="s">
        <v>147</v>
      </c>
      <c r="B443" s="337"/>
      <c r="C443" s="337"/>
      <c r="D443" s="337"/>
      <c r="E443" s="337"/>
      <c r="F443" s="337"/>
      <c r="G443" s="337"/>
      <c r="H443" s="337"/>
      <c r="I443" s="337"/>
      <c r="J443" s="337"/>
      <c r="K443" s="337"/>
      <c r="L443" s="337"/>
      <c r="M443" s="337"/>
      <c r="N443" s="337"/>
      <c r="O443" s="337"/>
      <c r="P443" s="337"/>
      <c r="Q443" s="337"/>
      <c r="R443" s="337"/>
      <c r="S443" s="337"/>
      <c r="T443" s="337"/>
      <c r="U443" s="337"/>
      <c r="V443" s="337"/>
      <c r="W443" s="337"/>
      <c r="X443" s="337"/>
      <c r="Y443" s="338"/>
    </row>
    <row r="444" spans="1:25" s="59" customFormat="1" ht="15.75" customHeight="1">
      <c r="A444" s="339" t="s">
        <v>148</v>
      </c>
      <c r="B444" s="340"/>
      <c r="C444" s="341" t="s">
        <v>177</v>
      </c>
      <c r="D444" s="342"/>
      <c r="E444" s="339" t="s">
        <v>149</v>
      </c>
      <c r="F444" s="343"/>
      <c r="G444" s="340"/>
      <c r="H444" s="341" t="s">
        <v>360</v>
      </c>
      <c r="I444" s="344"/>
      <c r="J444" s="345"/>
      <c r="K444" s="345"/>
      <c r="L444" s="346"/>
      <c r="M444" s="347" t="s">
        <v>150</v>
      </c>
      <c r="N444" s="348"/>
      <c r="O444" s="349"/>
      <c r="P444" s="350" t="s">
        <v>368</v>
      </c>
      <c r="Q444" s="351"/>
      <c r="R444" s="351"/>
      <c r="S444" s="351"/>
      <c r="T444" s="351"/>
      <c r="U444" s="351"/>
      <c r="V444" s="351"/>
      <c r="W444" s="351"/>
      <c r="X444" s="351"/>
      <c r="Y444" s="352"/>
    </row>
    <row r="445" spans="1:25" s="59" customFormat="1" ht="15.75" customHeight="1">
      <c r="A445" s="339" t="s">
        <v>179</v>
      </c>
      <c r="B445" s="340"/>
      <c r="C445" s="377" t="s">
        <v>205</v>
      </c>
      <c r="D445" s="378"/>
      <c r="E445" s="339" t="s">
        <v>151</v>
      </c>
      <c r="F445" s="343"/>
      <c r="G445" s="340"/>
      <c r="H445" s="379" t="s">
        <v>206</v>
      </c>
      <c r="I445" s="380"/>
      <c r="J445" s="339" t="s">
        <v>152</v>
      </c>
      <c r="K445" s="343"/>
      <c r="L445" s="340"/>
      <c r="M445" s="381"/>
      <c r="N445" s="375"/>
      <c r="O445" s="376"/>
      <c r="P445" s="373" t="s">
        <v>153</v>
      </c>
      <c r="Q445" s="374"/>
      <c r="R445" s="375"/>
      <c r="S445" s="375"/>
      <c r="T445" s="375" t="e">
        <f>VLOOKUP(I443,eventslist,4,FALSE)</f>
        <v>#NAME?</v>
      </c>
      <c r="U445" s="375"/>
      <c r="V445" s="375" t="e">
        <f>VLOOKUP(K443,eventslist,4,FALSE)</f>
        <v>#NAME?</v>
      </c>
      <c r="W445" s="375"/>
      <c r="X445" s="375" t="e">
        <f>VLOOKUP(M443,eventslist,4,FALSE)</f>
        <v>#NAME?</v>
      </c>
      <c r="Y445" s="376"/>
    </row>
    <row r="446" spans="1:25" s="59" customFormat="1" ht="31.5" customHeight="1">
      <c r="A446" s="60" t="s">
        <v>154</v>
      </c>
      <c r="B446" s="60" t="s">
        <v>155</v>
      </c>
      <c r="C446" s="61" t="s">
        <v>156</v>
      </c>
      <c r="D446" s="62" t="s">
        <v>157</v>
      </c>
      <c r="E446" s="362" t="s">
        <v>158</v>
      </c>
      <c r="F446" s="357"/>
      <c r="G446" s="357" t="s">
        <v>159</v>
      </c>
      <c r="H446" s="357"/>
      <c r="I446" s="357" t="s">
        <v>160</v>
      </c>
      <c r="J446" s="357"/>
      <c r="K446" s="357" t="s">
        <v>161</v>
      </c>
      <c r="L446" s="357"/>
      <c r="M446" s="355" t="s">
        <v>162</v>
      </c>
      <c r="N446" s="357" t="s">
        <v>163</v>
      </c>
      <c r="O446" s="357"/>
      <c r="P446" s="357" t="s">
        <v>164</v>
      </c>
      <c r="Q446" s="357"/>
      <c r="R446" s="357" t="s">
        <v>165</v>
      </c>
      <c r="S446" s="357"/>
      <c r="T446" s="357" t="s">
        <v>166</v>
      </c>
      <c r="U446" s="358"/>
      <c r="V446" s="359" t="s">
        <v>167</v>
      </c>
      <c r="W446" s="354" t="s">
        <v>168</v>
      </c>
      <c r="X446" s="360"/>
      <c r="Y446" s="361"/>
    </row>
    <row r="447" spans="1:25" s="59" customFormat="1" ht="12.75">
      <c r="A447" s="63"/>
      <c r="B447" s="63"/>
      <c r="C447" s="120" t="s">
        <v>394</v>
      </c>
      <c r="D447" s="370" t="s">
        <v>314</v>
      </c>
      <c r="E447" s="371"/>
      <c r="F447" s="372"/>
      <c r="G447" s="353" t="s">
        <v>169</v>
      </c>
      <c r="H447" s="353"/>
      <c r="I447" s="353" t="s">
        <v>169</v>
      </c>
      <c r="J447" s="353"/>
      <c r="K447" s="353" t="s">
        <v>169</v>
      </c>
      <c r="L447" s="353"/>
      <c r="M447" s="356"/>
      <c r="N447" s="353" t="s">
        <v>169</v>
      </c>
      <c r="O447" s="353"/>
      <c r="P447" s="353" t="s">
        <v>169</v>
      </c>
      <c r="Q447" s="353"/>
      <c r="R447" s="353" t="s">
        <v>169</v>
      </c>
      <c r="S447" s="353"/>
      <c r="T447" s="353" t="s">
        <v>169</v>
      </c>
      <c r="U447" s="354"/>
      <c r="V447" s="355"/>
      <c r="W447" s="60"/>
      <c r="X447" s="60" t="s">
        <v>170</v>
      </c>
      <c r="Y447" s="60" t="s">
        <v>171</v>
      </c>
    </row>
    <row r="448" spans="1:25" s="59" customFormat="1" ht="15.75" customHeight="1">
      <c r="A448" s="63">
        <v>1</v>
      </c>
      <c r="B448" s="119">
        <v>1</v>
      </c>
      <c r="C448" s="122" t="s">
        <v>607</v>
      </c>
      <c r="D448" s="122" t="s">
        <v>20</v>
      </c>
      <c r="E448" s="366"/>
      <c r="F448" s="367"/>
      <c r="G448" s="366"/>
      <c r="H448" s="367"/>
      <c r="I448" s="366"/>
      <c r="J448" s="367"/>
      <c r="K448" s="368"/>
      <c r="L448" s="369"/>
      <c r="M448" s="67"/>
      <c r="N448" s="366"/>
      <c r="O448" s="367"/>
      <c r="P448" s="366"/>
      <c r="Q448" s="367"/>
      <c r="R448" s="366"/>
      <c r="S448" s="367"/>
      <c r="T448" s="368"/>
      <c r="U448" s="369"/>
      <c r="V448" s="67"/>
      <c r="W448" s="68"/>
      <c r="X448" s="68"/>
      <c r="Y448" s="68"/>
    </row>
    <row r="449" spans="1:25" s="59" customFormat="1" ht="15.75" customHeight="1">
      <c r="A449" s="60">
        <v>2</v>
      </c>
      <c r="B449" s="119">
        <v>3</v>
      </c>
      <c r="C449" s="122" t="s">
        <v>608</v>
      </c>
      <c r="D449" s="122" t="s">
        <v>16</v>
      </c>
      <c r="E449" s="366"/>
      <c r="F449" s="367"/>
      <c r="G449" s="366"/>
      <c r="H449" s="367"/>
      <c r="I449" s="366"/>
      <c r="J449" s="367"/>
      <c r="K449" s="368"/>
      <c r="L449" s="369"/>
      <c r="M449" s="67"/>
      <c r="N449" s="366"/>
      <c r="O449" s="367"/>
      <c r="P449" s="366"/>
      <c r="Q449" s="367"/>
      <c r="R449" s="366"/>
      <c r="S449" s="367"/>
      <c r="T449" s="368"/>
      <c r="U449" s="369"/>
      <c r="V449" s="67"/>
      <c r="W449" s="68"/>
      <c r="X449" s="68"/>
      <c r="Y449" s="68"/>
    </row>
    <row r="450" spans="1:25" s="59" customFormat="1" ht="15.75" customHeight="1">
      <c r="A450" s="60">
        <v>3</v>
      </c>
      <c r="B450" s="119">
        <v>4</v>
      </c>
      <c r="C450" s="122" t="s">
        <v>609</v>
      </c>
      <c r="D450" s="122" t="s">
        <v>16</v>
      </c>
      <c r="E450" s="366"/>
      <c r="F450" s="367"/>
      <c r="G450" s="366"/>
      <c r="H450" s="367"/>
      <c r="I450" s="366"/>
      <c r="J450" s="367"/>
      <c r="K450" s="368"/>
      <c r="L450" s="369"/>
      <c r="M450" s="67"/>
      <c r="N450" s="366"/>
      <c r="O450" s="367"/>
      <c r="P450" s="366"/>
      <c r="Q450" s="367"/>
      <c r="R450" s="366"/>
      <c r="S450" s="367"/>
      <c r="T450" s="368"/>
      <c r="U450" s="369"/>
      <c r="V450" s="67"/>
      <c r="W450" s="68"/>
      <c r="X450" s="68"/>
      <c r="Y450" s="68"/>
    </row>
    <row r="451" spans="1:25" s="59" customFormat="1" ht="15.75" customHeight="1">
      <c r="A451" s="60">
        <v>4</v>
      </c>
      <c r="B451" s="119">
        <v>5</v>
      </c>
      <c r="C451" s="122" t="s">
        <v>610</v>
      </c>
      <c r="D451" s="122" t="s">
        <v>18</v>
      </c>
      <c r="E451" s="366"/>
      <c r="F451" s="367"/>
      <c r="G451" s="366"/>
      <c r="H451" s="367"/>
      <c r="I451" s="366"/>
      <c r="J451" s="367"/>
      <c r="K451" s="368"/>
      <c r="L451" s="369"/>
      <c r="M451" s="67"/>
      <c r="N451" s="366"/>
      <c r="O451" s="367"/>
      <c r="P451" s="366"/>
      <c r="Q451" s="367"/>
      <c r="R451" s="366"/>
      <c r="S451" s="367"/>
      <c r="T451" s="368"/>
      <c r="U451" s="369"/>
      <c r="V451" s="67"/>
      <c r="W451" s="68"/>
      <c r="X451" s="68"/>
      <c r="Y451" s="68"/>
    </row>
    <row r="452" spans="1:25" s="59" customFormat="1" ht="15.75" customHeight="1">
      <c r="A452" s="60">
        <v>5</v>
      </c>
      <c r="B452" s="122">
        <v>6</v>
      </c>
      <c r="C452" s="122" t="s">
        <v>611</v>
      </c>
      <c r="D452" s="122" t="s">
        <v>18</v>
      </c>
      <c r="E452" s="366"/>
      <c r="F452" s="367"/>
      <c r="G452" s="366"/>
      <c r="H452" s="367"/>
      <c r="I452" s="366"/>
      <c r="J452" s="367"/>
      <c r="K452" s="368"/>
      <c r="L452" s="369"/>
      <c r="M452" s="67"/>
      <c r="N452" s="366"/>
      <c r="O452" s="367"/>
      <c r="P452" s="366"/>
      <c r="Q452" s="367"/>
      <c r="R452" s="366"/>
      <c r="S452" s="367"/>
      <c r="T452" s="368"/>
      <c r="U452" s="369"/>
      <c r="V452" s="67"/>
      <c r="W452" s="68"/>
      <c r="X452" s="68"/>
      <c r="Y452" s="68"/>
    </row>
    <row r="453" spans="1:25" s="59" customFormat="1" ht="15.75" customHeight="1">
      <c r="A453" s="60">
        <v>6</v>
      </c>
      <c r="B453" s="122">
        <v>7</v>
      </c>
      <c r="C453" s="122" t="s">
        <v>612</v>
      </c>
      <c r="D453" s="122" t="s">
        <v>22</v>
      </c>
      <c r="E453" s="366"/>
      <c r="F453" s="367"/>
      <c r="G453" s="366"/>
      <c r="H453" s="367"/>
      <c r="I453" s="366"/>
      <c r="J453" s="367"/>
      <c r="K453" s="368"/>
      <c r="L453" s="369"/>
      <c r="M453" s="67"/>
      <c r="N453" s="366"/>
      <c r="O453" s="367"/>
      <c r="P453" s="366"/>
      <c r="Q453" s="367"/>
      <c r="R453" s="366"/>
      <c r="S453" s="367"/>
      <c r="T453" s="368"/>
      <c r="U453" s="369"/>
      <c r="V453" s="67"/>
      <c r="W453" s="68"/>
      <c r="X453" s="68"/>
      <c r="Y453" s="68"/>
    </row>
    <row r="454" spans="1:25" s="59" customFormat="1" ht="15.75" customHeight="1">
      <c r="A454" s="60">
        <v>7</v>
      </c>
      <c r="B454" s="119">
        <v>9</v>
      </c>
      <c r="C454" s="122" t="s">
        <v>613</v>
      </c>
      <c r="D454" s="122" t="s">
        <v>92</v>
      </c>
      <c r="E454" s="366"/>
      <c r="F454" s="367"/>
      <c r="G454" s="366"/>
      <c r="H454" s="367"/>
      <c r="I454" s="366"/>
      <c r="J454" s="367"/>
      <c r="K454" s="368"/>
      <c r="L454" s="369"/>
      <c r="M454" s="67"/>
      <c r="N454" s="366"/>
      <c r="O454" s="367"/>
      <c r="P454" s="366"/>
      <c r="Q454" s="367"/>
      <c r="R454" s="366"/>
      <c r="S454" s="367"/>
      <c r="T454" s="368"/>
      <c r="U454" s="369"/>
      <c r="V454" s="67"/>
      <c r="W454" s="68"/>
      <c r="X454" s="68"/>
      <c r="Y454" s="68"/>
    </row>
    <row r="455" spans="1:25" s="59" customFormat="1" ht="15.75" customHeight="1">
      <c r="A455" s="60">
        <v>8</v>
      </c>
      <c r="B455" s="119">
        <v>10</v>
      </c>
      <c r="C455" s="122" t="s">
        <v>614</v>
      </c>
      <c r="D455" s="122" t="s">
        <v>92</v>
      </c>
      <c r="E455" s="366"/>
      <c r="F455" s="367"/>
      <c r="G455" s="366"/>
      <c r="H455" s="367"/>
      <c r="I455" s="366"/>
      <c r="J455" s="367"/>
      <c r="K455" s="368"/>
      <c r="L455" s="369"/>
      <c r="M455" s="67"/>
      <c r="N455" s="366"/>
      <c r="O455" s="367"/>
      <c r="P455" s="366"/>
      <c r="Q455" s="367"/>
      <c r="R455" s="366"/>
      <c r="S455" s="367"/>
      <c r="T455" s="368"/>
      <c r="U455" s="369"/>
      <c r="V455" s="67"/>
      <c r="W455" s="68"/>
      <c r="X455" s="68"/>
      <c r="Y455" s="68"/>
    </row>
    <row r="456" spans="1:25" s="59" customFormat="1" ht="15.75" customHeight="1">
      <c r="A456" s="60">
        <v>9</v>
      </c>
      <c r="B456" s="119">
        <v>11</v>
      </c>
      <c r="C456" s="122" t="s">
        <v>615</v>
      </c>
      <c r="D456" s="122" t="s">
        <v>19</v>
      </c>
      <c r="E456" s="366"/>
      <c r="F456" s="367"/>
      <c r="G456" s="366"/>
      <c r="H456" s="367"/>
      <c r="I456" s="366"/>
      <c r="J456" s="367"/>
      <c r="K456" s="368"/>
      <c r="L456" s="369"/>
      <c r="M456" s="67"/>
      <c r="N456" s="366"/>
      <c r="O456" s="367"/>
      <c r="P456" s="366"/>
      <c r="Q456" s="367"/>
      <c r="R456" s="366"/>
      <c r="S456" s="367"/>
      <c r="T456" s="368"/>
      <c r="U456" s="369"/>
      <c r="V456" s="67"/>
      <c r="W456" s="68"/>
      <c r="X456" s="68"/>
      <c r="Y456" s="68"/>
    </row>
    <row r="457" spans="1:25" s="59" customFormat="1" ht="15.75" customHeight="1">
      <c r="A457" s="60">
        <v>10</v>
      </c>
      <c r="B457" s="119">
        <v>12</v>
      </c>
      <c r="C457" s="122" t="s">
        <v>616</v>
      </c>
      <c r="D457" s="122" t="s">
        <v>19</v>
      </c>
      <c r="E457" s="366"/>
      <c r="F457" s="367"/>
      <c r="G457" s="366"/>
      <c r="H457" s="367"/>
      <c r="I457" s="366"/>
      <c r="J457" s="367"/>
      <c r="K457" s="368"/>
      <c r="L457" s="369"/>
      <c r="M457" s="67"/>
      <c r="N457" s="366"/>
      <c r="O457" s="367"/>
      <c r="P457" s="366"/>
      <c r="Q457" s="367"/>
      <c r="R457" s="366"/>
      <c r="S457" s="367"/>
      <c r="T457" s="368"/>
      <c r="U457" s="369"/>
      <c r="V457" s="67"/>
      <c r="W457" s="68"/>
      <c r="X457" s="68"/>
      <c r="Y457" s="68"/>
    </row>
    <row r="458" spans="1:25" s="59" customFormat="1" ht="15.75" customHeight="1">
      <c r="A458" s="60">
        <v>11</v>
      </c>
      <c r="B458" s="119" t="s">
        <v>727</v>
      </c>
      <c r="C458" s="119" t="s">
        <v>617</v>
      </c>
      <c r="D458" s="211" t="s">
        <v>22</v>
      </c>
      <c r="E458" s="341"/>
      <c r="F458" s="342"/>
      <c r="G458" s="366"/>
      <c r="H458" s="367"/>
      <c r="I458" s="366"/>
      <c r="J458" s="367"/>
      <c r="K458" s="368"/>
      <c r="L458" s="369"/>
      <c r="M458" s="67"/>
      <c r="N458" s="366"/>
      <c r="O458" s="367"/>
      <c r="P458" s="366"/>
      <c r="Q458" s="367"/>
      <c r="R458" s="366"/>
      <c r="S458" s="367"/>
      <c r="T458" s="368"/>
      <c r="U458" s="369"/>
      <c r="V458" s="67"/>
      <c r="W458" s="68"/>
      <c r="X458" s="68"/>
      <c r="Y458" s="68"/>
    </row>
    <row r="459" spans="1:25" s="59" customFormat="1" ht="15.75" customHeight="1">
      <c r="A459" s="60">
        <v>12</v>
      </c>
      <c r="B459" s="119">
        <v>8</v>
      </c>
      <c r="C459" s="119" t="s">
        <v>618</v>
      </c>
      <c r="D459" s="122" t="s">
        <v>22</v>
      </c>
      <c r="E459" s="366"/>
      <c r="F459" s="367"/>
      <c r="G459" s="366"/>
      <c r="H459" s="367"/>
      <c r="I459" s="366"/>
      <c r="J459" s="367"/>
      <c r="K459" s="368"/>
      <c r="L459" s="369"/>
      <c r="M459" s="67"/>
      <c r="N459" s="366"/>
      <c r="O459" s="367"/>
      <c r="P459" s="366"/>
      <c r="Q459" s="367"/>
      <c r="R459" s="366"/>
      <c r="S459" s="367"/>
      <c r="T459" s="368"/>
      <c r="U459" s="369"/>
      <c r="V459" s="67"/>
      <c r="W459" s="68"/>
      <c r="X459" s="68"/>
      <c r="Y459" s="68"/>
    </row>
    <row r="460" spans="1:25" s="59" customFormat="1" ht="15.75" customHeight="1">
      <c r="A460" s="60"/>
      <c r="B460" s="119"/>
      <c r="C460" s="121" t="s">
        <v>395</v>
      </c>
      <c r="D460" s="370" t="s">
        <v>315</v>
      </c>
      <c r="E460" s="371"/>
      <c r="F460" s="372"/>
      <c r="G460" s="366"/>
      <c r="H460" s="367"/>
      <c r="I460" s="366"/>
      <c r="J460" s="367"/>
      <c r="K460" s="368"/>
      <c r="L460" s="369"/>
      <c r="M460" s="67"/>
      <c r="N460" s="366"/>
      <c r="O460" s="367"/>
      <c r="P460" s="366"/>
      <c r="Q460" s="367"/>
      <c r="R460" s="366"/>
      <c r="S460" s="367"/>
      <c r="T460" s="368"/>
      <c r="U460" s="369"/>
      <c r="V460" s="67"/>
      <c r="W460" s="68"/>
      <c r="X460" s="68"/>
      <c r="Y460" s="68"/>
    </row>
    <row r="461" spans="1:25" s="59" customFormat="1" ht="15.75" customHeight="1">
      <c r="A461" s="60">
        <v>13</v>
      </c>
      <c r="B461" s="119">
        <v>11</v>
      </c>
      <c r="C461" s="122" t="s">
        <v>621</v>
      </c>
      <c r="D461" s="122" t="s">
        <v>19</v>
      </c>
      <c r="E461" s="366"/>
      <c r="F461" s="367"/>
      <c r="G461" s="366"/>
      <c r="H461" s="367"/>
      <c r="I461" s="366"/>
      <c r="J461" s="367"/>
      <c r="K461" s="368"/>
      <c r="L461" s="369"/>
      <c r="M461" s="67"/>
      <c r="N461" s="366"/>
      <c r="O461" s="367"/>
      <c r="P461" s="366"/>
      <c r="Q461" s="367"/>
      <c r="R461" s="366"/>
      <c r="S461" s="367"/>
      <c r="T461" s="368"/>
      <c r="U461" s="369"/>
      <c r="V461" s="67"/>
      <c r="W461" s="68"/>
      <c r="X461" s="68"/>
      <c r="Y461" s="68"/>
    </row>
    <row r="462" spans="1:25" s="59" customFormat="1" ht="15.75" customHeight="1">
      <c r="A462" s="60">
        <v>14</v>
      </c>
      <c r="B462" s="119">
        <v>7</v>
      </c>
      <c r="C462" s="122" t="s">
        <v>619</v>
      </c>
      <c r="D462" s="122" t="s">
        <v>22</v>
      </c>
      <c r="E462" s="366"/>
      <c r="F462" s="367"/>
      <c r="G462" s="366"/>
      <c r="H462" s="367"/>
      <c r="I462" s="366"/>
      <c r="J462" s="367"/>
      <c r="K462" s="368"/>
      <c r="L462" s="369"/>
      <c r="M462" s="67"/>
      <c r="N462" s="366"/>
      <c r="O462" s="367"/>
      <c r="P462" s="366"/>
      <c r="Q462" s="367"/>
      <c r="R462" s="366"/>
      <c r="S462" s="367"/>
      <c r="T462" s="368"/>
      <c r="U462" s="369"/>
      <c r="V462" s="67"/>
      <c r="W462" s="68"/>
      <c r="X462" s="68"/>
      <c r="Y462" s="68"/>
    </row>
    <row r="463" spans="1:25" s="59" customFormat="1" ht="15.75" customHeight="1">
      <c r="A463" s="196">
        <v>15</v>
      </c>
      <c r="B463" s="119">
        <v>8</v>
      </c>
      <c r="C463" s="122" t="s">
        <v>620</v>
      </c>
      <c r="D463" s="122" t="s">
        <v>22</v>
      </c>
      <c r="E463" s="398"/>
      <c r="F463" s="398"/>
      <c r="G463" s="398"/>
      <c r="H463" s="398"/>
      <c r="I463" s="398"/>
      <c r="J463" s="398"/>
      <c r="K463" s="399"/>
      <c r="L463" s="399"/>
      <c r="M463" s="67"/>
      <c r="N463" s="398"/>
      <c r="O463" s="398"/>
      <c r="P463" s="398"/>
      <c r="Q463" s="398"/>
      <c r="R463" s="398"/>
      <c r="S463" s="398"/>
      <c r="T463" s="399"/>
      <c r="U463" s="399"/>
      <c r="V463" s="67"/>
      <c r="W463" s="68"/>
      <c r="X463" s="68"/>
      <c r="Y463" s="68"/>
    </row>
    <row r="464" spans="1:25" s="59" customFormat="1" ht="15.75" customHeight="1">
      <c r="A464" s="196"/>
      <c r="B464" s="119"/>
      <c r="C464" s="122"/>
      <c r="D464" s="122"/>
      <c r="E464" s="366"/>
      <c r="F464" s="367"/>
      <c r="G464" s="366"/>
      <c r="H464" s="367"/>
      <c r="I464" s="366"/>
      <c r="J464" s="367"/>
      <c r="K464" s="368"/>
      <c r="L464" s="369"/>
      <c r="M464" s="67"/>
      <c r="N464" s="366"/>
      <c r="O464" s="367"/>
      <c r="P464" s="366"/>
      <c r="Q464" s="367"/>
      <c r="R464" s="366"/>
      <c r="S464" s="367"/>
      <c r="T464" s="368"/>
      <c r="U464" s="369"/>
      <c r="V464" s="67"/>
      <c r="W464" s="68"/>
      <c r="X464" s="68"/>
      <c r="Y464" s="68"/>
    </row>
    <row r="465" spans="1:4" s="59" customFormat="1" ht="12.75">
      <c r="A465" s="69"/>
      <c r="C465" s="70"/>
      <c r="D465" s="70"/>
    </row>
    <row r="466" spans="1:25" s="59" customFormat="1" ht="12.75">
      <c r="A466" s="394" t="s">
        <v>172</v>
      </c>
      <c r="B466" s="395"/>
      <c r="C466" s="395"/>
      <c r="D466" s="395"/>
      <c r="E466" s="395"/>
      <c r="F466" s="395"/>
      <c r="G466" s="341" t="s">
        <v>172</v>
      </c>
      <c r="H466" s="396"/>
      <c r="I466" s="396"/>
      <c r="J466" s="396"/>
      <c r="K466" s="396"/>
      <c r="L466" s="396"/>
      <c r="M466" s="396"/>
      <c r="N466" s="396"/>
      <c r="O466" s="396"/>
      <c r="P466" s="396"/>
      <c r="Q466" s="396"/>
      <c r="R466" s="397"/>
      <c r="S466" s="354" t="s">
        <v>173</v>
      </c>
      <c r="T466" s="360"/>
      <c r="U466" s="360"/>
      <c r="V466" s="360"/>
      <c r="W466" s="360"/>
      <c r="X466" s="360"/>
      <c r="Y466" s="361"/>
    </row>
    <row r="467" spans="1:25" s="59" customFormat="1" ht="12.75">
      <c r="A467" s="60" t="s">
        <v>0</v>
      </c>
      <c r="B467" s="60" t="s">
        <v>174</v>
      </c>
      <c r="C467" s="60" t="s">
        <v>156</v>
      </c>
      <c r="D467" s="60" t="s">
        <v>157</v>
      </c>
      <c r="E467" s="353" t="s">
        <v>175</v>
      </c>
      <c r="F467" s="353"/>
      <c r="G467" s="63" t="s">
        <v>0</v>
      </c>
      <c r="H467" s="64" t="s">
        <v>174</v>
      </c>
      <c r="I467" s="354" t="s">
        <v>156</v>
      </c>
      <c r="J467" s="360"/>
      <c r="K467" s="360"/>
      <c r="L467" s="361"/>
      <c r="M467" s="391" t="s">
        <v>157</v>
      </c>
      <c r="N467" s="392"/>
      <c r="O467" s="392"/>
      <c r="P467" s="393"/>
      <c r="Q467" s="354" t="s">
        <v>175</v>
      </c>
      <c r="R467" s="361"/>
      <c r="S467" s="72"/>
      <c r="T467" s="73"/>
      <c r="U467" s="73"/>
      <c r="V467" s="57"/>
      <c r="W467" s="57"/>
      <c r="X467" s="57"/>
      <c r="Y467" s="58"/>
    </row>
    <row r="468" spans="1:25" s="59" customFormat="1" ht="15.75" customHeight="1">
      <c r="A468" s="60">
        <v>1</v>
      </c>
      <c r="B468" s="71"/>
      <c r="C468" s="74"/>
      <c r="D468" s="74"/>
      <c r="E468" s="384"/>
      <c r="F468" s="385"/>
      <c r="G468" s="75">
        <v>9</v>
      </c>
      <c r="H468" s="71"/>
      <c r="I468" s="386"/>
      <c r="J468" s="387"/>
      <c r="K468" s="387"/>
      <c r="L468" s="388"/>
      <c r="M468" s="386"/>
      <c r="N468" s="387"/>
      <c r="O468" s="387"/>
      <c r="P468" s="388"/>
      <c r="Q468" s="384"/>
      <c r="R468" s="385"/>
      <c r="S468" s="76"/>
      <c r="T468" s="77"/>
      <c r="U468" s="77"/>
      <c r="V468" s="78"/>
      <c r="W468" s="78"/>
      <c r="X468" s="78"/>
      <c r="Y468" s="79"/>
    </row>
    <row r="469" spans="1:25" s="59" customFormat="1" ht="15.75" customHeight="1">
      <c r="A469" s="60">
        <v>2</v>
      </c>
      <c r="B469" s="71"/>
      <c r="C469" s="74"/>
      <c r="D469" s="74"/>
      <c r="E469" s="384"/>
      <c r="F469" s="385"/>
      <c r="G469" s="75">
        <v>10</v>
      </c>
      <c r="H469" s="71"/>
      <c r="I469" s="386"/>
      <c r="J469" s="387"/>
      <c r="K469" s="387"/>
      <c r="L469" s="388"/>
      <c r="M469" s="386"/>
      <c r="N469" s="387"/>
      <c r="O469" s="387"/>
      <c r="P469" s="388"/>
      <c r="Q469" s="389"/>
      <c r="R469" s="390"/>
      <c r="S469" s="72"/>
      <c r="T469" s="73"/>
      <c r="U469" s="73"/>
      <c r="V469" s="57"/>
      <c r="W469" s="57"/>
      <c r="X469" s="57"/>
      <c r="Y469" s="58"/>
    </row>
    <row r="470" spans="1:25" s="59" customFormat="1" ht="15.75" customHeight="1">
      <c r="A470" s="60">
        <v>3</v>
      </c>
      <c r="B470" s="71"/>
      <c r="C470" s="74"/>
      <c r="D470" s="74"/>
      <c r="E470" s="384"/>
      <c r="F470" s="385"/>
      <c r="G470" s="75">
        <v>11</v>
      </c>
      <c r="H470" s="71"/>
      <c r="I470" s="386"/>
      <c r="J470" s="387"/>
      <c r="K470" s="387"/>
      <c r="L470" s="388"/>
      <c r="M470" s="386"/>
      <c r="N470" s="387"/>
      <c r="O470" s="387"/>
      <c r="P470" s="388"/>
      <c r="Q470" s="389"/>
      <c r="R470" s="390"/>
      <c r="S470" s="76"/>
      <c r="T470" s="77"/>
      <c r="U470" s="77"/>
      <c r="V470" s="78"/>
      <c r="W470" s="78"/>
      <c r="X470" s="78"/>
      <c r="Y470" s="79"/>
    </row>
    <row r="471" spans="1:25" s="59" customFormat="1" ht="15.75" customHeight="1">
      <c r="A471" s="60">
        <v>4</v>
      </c>
      <c r="B471" s="71"/>
      <c r="C471" s="74"/>
      <c r="D471" s="74"/>
      <c r="E471" s="384"/>
      <c r="F471" s="385"/>
      <c r="G471" s="75">
        <v>12</v>
      </c>
      <c r="H471" s="71"/>
      <c r="I471" s="386"/>
      <c r="J471" s="387"/>
      <c r="K471" s="387"/>
      <c r="L471" s="388"/>
      <c r="M471" s="386"/>
      <c r="N471" s="387"/>
      <c r="O471" s="387"/>
      <c r="P471" s="388"/>
      <c r="Q471" s="389"/>
      <c r="R471" s="390"/>
      <c r="S471" s="72"/>
      <c r="T471" s="73"/>
      <c r="U471" s="73"/>
      <c r="V471" s="57"/>
      <c r="W471" s="57"/>
      <c r="X471" s="57"/>
      <c r="Y471" s="58"/>
    </row>
    <row r="472" spans="1:25" s="59" customFormat="1" ht="15.75" customHeight="1">
      <c r="A472" s="60">
        <v>5</v>
      </c>
      <c r="B472" s="71"/>
      <c r="C472" s="74"/>
      <c r="D472" s="74"/>
      <c r="E472" s="384"/>
      <c r="F472" s="385"/>
      <c r="G472" s="75">
        <v>13</v>
      </c>
      <c r="H472" s="71"/>
      <c r="I472" s="386"/>
      <c r="J472" s="387"/>
      <c r="K472" s="387"/>
      <c r="L472" s="388"/>
      <c r="M472" s="386"/>
      <c r="N472" s="387"/>
      <c r="O472" s="387"/>
      <c r="P472" s="388"/>
      <c r="Q472" s="389"/>
      <c r="R472" s="390"/>
      <c r="S472" s="76"/>
      <c r="T472" s="77"/>
      <c r="U472" s="77"/>
      <c r="V472" s="78"/>
      <c r="W472" s="78"/>
      <c r="X472" s="78"/>
      <c r="Y472" s="79"/>
    </row>
    <row r="473" spans="1:25" s="59" customFormat="1" ht="15.75" customHeight="1">
      <c r="A473" s="60">
        <v>6</v>
      </c>
      <c r="B473" s="71"/>
      <c r="C473" s="74"/>
      <c r="D473" s="74"/>
      <c r="E473" s="384"/>
      <c r="F473" s="385"/>
      <c r="G473" s="75">
        <v>14</v>
      </c>
      <c r="H473" s="71"/>
      <c r="I473" s="386"/>
      <c r="J473" s="387"/>
      <c r="K473" s="387"/>
      <c r="L473" s="388"/>
      <c r="M473" s="386"/>
      <c r="N473" s="387"/>
      <c r="O473" s="387"/>
      <c r="P473" s="388"/>
      <c r="Q473" s="389"/>
      <c r="R473" s="390"/>
      <c r="S473" s="354" t="s">
        <v>176</v>
      </c>
      <c r="T473" s="360"/>
      <c r="U473" s="360"/>
      <c r="V473" s="360"/>
      <c r="W473" s="360"/>
      <c r="X473" s="360"/>
      <c r="Y473" s="361"/>
    </row>
    <row r="474" spans="1:25" s="59" customFormat="1" ht="15.75" customHeight="1">
      <c r="A474" s="60">
        <v>7</v>
      </c>
      <c r="B474" s="71"/>
      <c r="C474" s="74"/>
      <c r="D474" s="74"/>
      <c r="E474" s="384"/>
      <c r="F474" s="385"/>
      <c r="G474" s="75">
        <v>15</v>
      </c>
      <c r="H474" s="71"/>
      <c r="I474" s="386"/>
      <c r="J474" s="387"/>
      <c r="K474" s="387"/>
      <c r="L474" s="388"/>
      <c r="M474" s="386"/>
      <c r="N474" s="387"/>
      <c r="O474" s="387"/>
      <c r="P474" s="388"/>
      <c r="Q474" s="389"/>
      <c r="R474" s="390"/>
      <c r="S474" s="72"/>
      <c r="T474" s="73"/>
      <c r="U474" s="73"/>
      <c r="V474" s="57"/>
      <c r="W474" s="57"/>
      <c r="X474" s="57"/>
      <c r="Y474" s="58"/>
    </row>
    <row r="475" spans="1:25" s="59" customFormat="1" ht="15.75" customHeight="1">
      <c r="A475" s="60">
        <v>8</v>
      </c>
      <c r="B475" s="71"/>
      <c r="C475" s="74"/>
      <c r="D475" s="74"/>
      <c r="E475" s="384"/>
      <c r="F475" s="385"/>
      <c r="G475" s="75">
        <v>16</v>
      </c>
      <c r="H475" s="71"/>
      <c r="I475" s="386"/>
      <c r="J475" s="387"/>
      <c r="K475" s="387"/>
      <c r="L475" s="388"/>
      <c r="M475" s="386"/>
      <c r="N475" s="387"/>
      <c r="O475" s="387"/>
      <c r="P475" s="388"/>
      <c r="Q475" s="389"/>
      <c r="R475" s="390"/>
      <c r="S475" s="76"/>
      <c r="T475" s="77"/>
      <c r="U475" s="77"/>
      <c r="V475" s="78"/>
      <c r="W475" s="78"/>
      <c r="X475" s="78"/>
      <c r="Y475" s="79"/>
    </row>
    <row r="478" spans="1:25" s="59" customFormat="1" ht="20.25">
      <c r="A478" s="336" t="s">
        <v>147</v>
      </c>
      <c r="B478" s="337"/>
      <c r="C478" s="337"/>
      <c r="D478" s="337"/>
      <c r="E478" s="337"/>
      <c r="F478" s="337"/>
      <c r="G478" s="337"/>
      <c r="H478" s="337"/>
      <c r="I478" s="337"/>
      <c r="J478" s="337"/>
      <c r="K478" s="337"/>
      <c r="L478" s="337"/>
      <c r="M478" s="337"/>
      <c r="N478" s="337"/>
      <c r="O478" s="337"/>
      <c r="P478" s="337"/>
      <c r="Q478" s="337"/>
      <c r="R478" s="337"/>
      <c r="S478" s="337"/>
      <c r="T478" s="337"/>
      <c r="U478" s="337"/>
      <c r="V478" s="337"/>
      <c r="W478" s="337"/>
      <c r="X478" s="337"/>
      <c r="Y478" s="338"/>
    </row>
    <row r="479" spans="1:25" s="59" customFormat="1" ht="15.75" customHeight="1">
      <c r="A479" s="339" t="s">
        <v>148</v>
      </c>
      <c r="B479" s="340"/>
      <c r="C479" s="341" t="s">
        <v>177</v>
      </c>
      <c r="D479" s="342"/>
      <c r="E479" s="339" t="s">
        <v>149</v>
      </c>
      <c r="F479" s="343"/>
      <c r="G479" s="340"/>
      <c r="H479" s="341" t="s">
        <v>360</v>
      </c>
      <c r="I479" s="344"/>
      <c r="J479" s="345"/>
      <c r="K479" s="345"/>
      <c r="L479" s="346"/>
      <c r="M479" s="347" t="s">
        <v>150</v>
      </c>
      <c r="N479" s="348"/>
      <c r="O479" s="349"/>
      <c r="P479" s="350" t="s">
        <v>368</v>
      </c>
      <c r="Q479" s="351"/>
      <c r="R479" s="351"/>
      <c r="S479" s="351"/>
      <c r="T479" s="351"/>
      <c r="U479" s="351"/>
      <c r="V479" s="351"/>
      <c r="W479" s="351"/>
      <c r="X479" s="351"/>
      <c r="Y479" s="352"/>
    </row>
    <row r="480" spans="1:25" s="59" customFormat="1" ht="15.75" customHeight="1">
      <c r="A480" s="339" t="s">
        <v>179</v>
      </c>
      <c r="B480" s="340"/>
      <c r="C480" s="377" t="s">
        <v>192</v>
      </c>
      <c r="D480" s="378"/>
      <c r="E480" s="339" t="s">
        <v>151</v>
      </c>
      <c r="F480" s="343"/>
      <c r="G480" s="340"/>
      <c r="H480" s="379" t="s">
        <v>336</v>
      </c>
      <c r="I480" s="380"/>
      <c r="J480" s="339" t="s">
        <v>152</v>
      </c>
      <c r="K480" s="343"/>
      <c r="L480" s="340"/>
      <c r="M480" s="381"/>
      <c r="N480" s="375"/>
      <c r="O480" s="376"/>
      <c r="P480" s="373" t="s">
        <v>153</v>
      </c>
      <c r="Q480" s="374"/>
      <c r="R480" s="375"/>
      <c r="S480" s="375"/>
      <c r="T480" s="375" t="e">
        <f>VLOOKUP(I478,eventslist,4,FALSE)</f>
        <v>#NAME?</v>
      </c>
      <c r="U480" s="375"/>
      <c r="V480" s="375" t="e">
        <f>VLOOKUP(K478,eventslist,4,FALSE)</f>
        <v>#NAME?</v>
      </c>
      <c r="W480" s="375"/>
      <c r="X480" s="375" t="e">
        <f>VLOOKUP(M478,eventslist,4,FALSE)</f>
        <v>#NAME?</v>
      </c>
      <c r="Y480" s="376"/>
    </row>
    <row r="481" spans="1:25" s="59" customFormat="1" ht="31.5" customHeight="1">
      <c r="A481" s="60" t="s">
        <v>154</v>
      </c>
      <c r="B481" s="60" t="s">
        <v>155</v>
      </c>
      <c r="C481" s="61" t="s">
        <v>156</v>
      </c>
      <c r="D481" s="62" t="s">
        <v>157</v>
      </c>
      <c r="E481" s="362" t="s">
        <v>158</v>
      </c>
      <c r="F481" s="357"/>
      <c r="G481" s="357" t="s">
        <v>159</v>
      </c>
      <c r="H481" s="357"/>
      <c r="I481" s="357" t="s">
        <v>160</v>
      </c>
      <c r="J481" s="357"/>
      <c r="K481" s="357" t="s">
        <v>161</v>
      </c>
      <c r="L481" s="357"/>
      <c r="M481" s="355" t="s">
        <v>162</v>
      </c>
      <c r="N481" s="357" t="s">
        <v>163</v>
      </c>
      <c r="O481" s="357"/>
      <c r="P481" s="357" t="s">
        <v>164</v>
      </c>
      <c r="Q481" s="357"/>
      <c r="R481" s="357" t="s">
        <v>165</v>
      </c>
      <c r="S481" s="357"/>
      <c r="T481" s="357" t="s">
        <v>166</v>
      </c>
      <c r="U481" s="358"/>
      <c r="V481" s="359" t="s">
        <v>167</v>
      </c>
      <c r="W481" s="354" t="s">
        <v>168</v>
      </c>
      <c r="X481" s="360"/>
      <c r="Y481" s="361"/>
    </row>
    <row r="482" spans="1:25" s="59" customFormat="1" ht="12.75">
      <c r="A482" s="63"/>
      <c r="B482" s="63"/>
      <c r="C482" s="120" t="s">
        <v>396</v>
      </c>
      <c r="D482" s="370" t="s">
        <v>418</v>
      </c>
      <c r="E482" s="371"/>
      <c r="F482" s="372"/>
      <c r="G482" s="353" t="s">
        <v>169</v>
      </c>
      <c r="H482" s="353"/>
      <c r="I482" s="353" t="s">
        <v>169</v>
      </c>
      <c r="J482" s="353"/>
      <c r="K482" s="353" t="s">
        <v>169</v>
      </c>
      <c r="L482" s="353"/>
      <c r="M482" s="356"/>
      <c r="N482" s="353" t="s">
        <v>169</v>
      </c>
      <c r="O482" s="353"/>
      <c r="P482" s="353" t="s">
        <v>169</v>
      </c>
      <c r="Q482" s="353"/>
      <c r="R482" s="353" t="s">
        <v>169</v>
      </c>
      <c r="S482" s="353"/>
      <c r="T482" s="353" t="s">
        <v>169</v>
      </c>
      <c r="U482" s="354"/>
      <c r="V482" s="355"/>
      <c r="W482" s="60"/>
      <c r="X482" s="60" t="s">
        <v>170</v>
      </c>
      <c r="Y482" s="60" t="s">
        <v>171</v>
      </c>
    </row>
    <row r="483" spans="1:25" s="59" customFormat="1" ht="15.75" customHeight="1">
      <c r="A483" s="63">
        <v>1</v>
      </c>
      <c r="B483" s="119">
        <v>1</v>
      </c>
      <c r="C483" s="122" t="s">
        <v>679</v>
      </c>
      <c r="D483" s="122" t="s">
        <v>20</v>
      </c>
      <c r="E483" s="366"/>
      <c r="F483" s="367"/>
      <c r="G483" s="366"/>
      <c r="H483" s="367"/>
      <c r="I483" s="366"/>
      <c r="J483" s="367"/>
      <c r="K483" s="368"/>
      <c r="L483" s="369"/>
      <c r="M483" s="67"/>
      <c r="N483" s="366"/>
      <c r="O483" s="367"/>
      <c r="P483" s="366"/>
      <c r="Q483" s="367"/>
      <c r="R483" s="366"/>
      <c r="S483" s="367"/>
      <c r="T483" s="368"/>
      <c r="U483" s="369"/>
      <c r="V483" s="67"/>
      <c r="W483" s="68"/>
      <c r="X483" s="68"/>
      <c r="Y483" s="68"/>
    </row>
    <row r="484" spans="1:25" s="59" customFormat="1" ht="15.75" customHeight="1">
      <c r="A484" s="60">
        <v>2</v>
      </c>
      <c r="B484" s="119">
        <v>2</v>
      </c>
      <c r="C484" s="122" t="s">
        <v>514</v>
      </c>
      <c r="D484" s="122" t="s">
        <v>20</v>
      </c>
      <c r="E484" s="366"/>
      <c r="F484" s="367"/>
      <c r="G484" s="366"/>
      <c r="H484" s="367"/>
      <c r="I484" s="366"/>
      <c r="J484" s="367"/>
      <c r="K484" s="368"/>
      <c r="L484" s="369"/>
      <c r="M484" s="67"/>
      <c r="N484" s="366"/>
      <c r="O484" s="367"/>
      <c r="P484" s="366"/>
      <c r="Q484" s="367"/>
      <c r="R484" s="366"/>
      <c r="S484" s="367"/>
      <c r="T484" s="368"/>
      <c r="U484" s="369"/>
      <c r="V484" s="67"/>
      <c r="W484" s="68"/>
      <c r="X484" s="68"/>
      <c r="Y484" s="68"/>
    </row>
    <row r="485" spans="1:25" s="59" customFormat="1" ht="15.75" customHeight="1">
      <c r="A485" s="60">
        <v>3</v>
      </c>
      <c r="B485" s="119">
        <v>3</v>
      </c>
      <c r="C485" s="122" t="s">
        <v>680</v>
      </c>
      <c r="D485" s="122" t="s">
        <v>16</v>
      </c>
      <c r="E485" s="366"/>
      <c r="F485" s="367"/>
      <c r="G485" s="366"/>
      <c r="H485" s="367"/>
      <c r="I485" s="366"/>
      <c r="J485" s="367"/>
      <c r="K485" s="368"/>
      <c r="L485" s="369"/>
      <c r="M485" s="67"/>
      <c r="N485" s="366"/>
      <c r="O485" s="367"/>
      <c r="P485" s="366"/>
      <c r="Q485" s="367"/>
      <c r="R485" s="366"/>
      <c r="S485" s="367"/>
      <c r="T485" s="368"/>
      <c r="U485" s="369"/>
      <c r="V485" s="67"/>
      <c r="W485" s="68"/>
      <c r="X485" s="68"/>
      <c r="Y485" s="68"/>
    </row>
    <row r="486" spans="1:25" s="59" customFormat="1" ht="15.75" customHeight="1">
      <c r="A486" s="60">
        <v>4</v>
      </c>
      <c r="B486" s="119">
        <v>4</v>
      </c>
      <c r="C486" s="122" t="s">
        <v>681</v>
      </c>
      <c r="D486" s="122" t="s">
        <v>16</v>
      </c>
      <c r="E486" s="366"/>
      <c r="F486" s="367"/>
      <c r="G486" s="366"/>
      <c r="H486" s="367"/>
      <c r="I486" s="366"/>
      <c r="J486" s="367"/>
      <c r="K486" s="368"/>
      <c r="L486" s="369"/>
      <c r="M486" s="67"/>
      <c r="N486" s="366"/>
      <c r="O486" s="367"/>
      <c r="P486" s="366"/>
      <c r="Q486" s="367"/>
      <c r="R486" s="366"/>
      <c r="S486" s="367"/>
      <c r="T486" s="368"/>
      <c r="U486" s="369"/>
      <c r="V486" s="67"/>
      <c r="W486" s="68"/>
      <c r="X486" s="68"/>
      <c r="Y486" s="68"/>
    </row>
    <row r="487" spans="1:25" s="59" customFormat="1" ht="15.75" customHeight="1">
      <c r="A487" s="60">
        <v>5</v>
      </c>
      <c r="B487" s="119">
        <v>7</v>
      </c>
      <c r="C487" s="122" t="s">
        <v>682</v>
      </c>
      <c r="D487" s="122" t="s">
        <v>22</v>
      </c>
      <c r="E487" s="366"/>
      <c r="F487" s="367"/>
      <c r="G487" s="366"/>
      <c r="H487" s="367"/>
      <c r="I487" s="366"/>
      <c r="J487" s="367"/>
      <c r="K487" s="368"/>
      <c r="L487" s="369"/>
      <c r="M487" s="67"/>
      <c r="N487" s="366"/>
      <c r="O487" s="367"/>
      <c r="P487" s="366"/>
      <c r="Q487" s="367"/>
      <c r="R487" s="366"/>
      <c r="S487" s="367"/>
      <c r="T487" s="368"/>
      <c r="U487" s="369"/>
      <c r="V487" s="67"/>
      <c r="W487" s="68"/>
      <c r="X487" s="68"/>
      <c r="Y487" s="68"/>
    </row>
    <row r="488" spans="1:25" s="59" customFormat="1" ht="15.75" customHeight="1">
      <c r="A488" s="60">
        <v>6</v>
      </c>
      <c r="B488" s="119">
        <v>12</v>
      </c>
      <c r="C488" s="122" t="s">
        <v>683</v>
      </c>
      <c r="D488" s="122" t="s">
        <v>19</v>
      </c>
      <c r="E488" s="366"/>
      <c r="F488" s="367"/>
      <c r="G488" s="366"/>
      <c r="H488" s="367"/>
      <c r="I488" s="366"/>
      <c r="J488" s="367"/>
      <c r="K488" s="368"/>
      <c r="L488" s="369"/>
      <c r="M488" s="67"/>
      <c r="N488" s="366"/>
      <c r="O488" s="367"/>
      <c r="P488" s="366"/>
      <c r="Q488" s="367"/>
      <c r="R488" s="366"/>
      <c r="S488" s="367"/>
      <c r="T488" s="368"/>
      <c r="U488" s="369"/>
      <c r="V488" s="67"/>
      <c r="W488" s="68"/>
      <c r="X488" s="68"/>
      <c r="Y488" s="68"/>
    </row>
    <row r="489" spans="1:25" s="59" customFormat="1" ht="15.75" customHeight="1">
      <c r="A489" s="60">
        <v>7</v>
      </c>
      <c r="B489" s="119">
        <v>9</v>
      </c>
      <c r="C489" s="122" t="s">
        <v>684</v>
      </c>
      <c r="D489" s="122" t="s">
        <v>92</v>
      </c>
      <c r="E489" s="366"/>
      <c r="F489" s="367"/>
      <c r="G489" s="366"/>
      <c r="H489" s="367"/>
      <c r="I489" s="366"/>
      <c r="J489" s="367"/>
      <c r="K489" s="368"/>
      <c r="L489" s="369"/>
      <c r="M489" s="67"/>
      <c r="N489" s="366"/>
      <c r="O489" s="367"/>
      <c r="P489" s="366"/>
      <c r="Q489" s="367"/>
      <c r="R489" s="366"/>
      <c r="S489" s="367"/>
      <c r="T489" s="368"/>
      <c r="U489" s="369"/>
      <c r="V489" s="67"/>
      <c r="W489" s="68"/>
      <c r="X489" s="68"/>
      <c r="Y489" s="68"/>
    </row>
    <row r="490" spans="1:25" s="59" customFormat="1" ht="15.75" customHeight="1">
      <c r="A490" s="60">
        <v>8</v>
      </c>
      <c r="B490" s="119">
        <v>10</v>
      </c>
      <c r="C490" s="122" t="s">
        <v>685</v>
      </c>
      <c r="D490" s="122" t="s">
        <v>92</v>
      </c>
      <c r="E490" s="366"/>
      <c r="F490" s="367"/>
      <c r="G490" s="366"/>
      <c r="H490" s="367"/>
      <c r="I490" s="366"/>
      <c r="J490" s="367"/>
      <c r="K490" s="368"/>
      <c r="L490" s="369"/>
      <c r="M490" s="67"/>
      <c r="N490" s="366"/>
      <c r="O490" s="367"/>
      <c r="P490" s="366"/>
      <c r="Q490" s="367"/>
      <c r="R490" s="366"/>
      <c r="S490" s="367"/>
      <c r="T490" s="368"/>
      <c r="U490" s="369"/>
      <c r="V490" s="67"/>
      <c r="W490" s="68"/>
      <c r="X490" s="68"/>
      <c r="Y490" s="68"/>
    </row>
    <row r="491" spans="1:25" s="59" customFormat="1" ht="15.75" customHeight="1">
      <c r="A491" s="60">
        <v>9</v>
      </c>
      <c r="B491" s="119">
        <v>11</v>
      </c>
      <c r="C491" s="122" t="s">
        <v>686</v>
      </c>
      <c r="D491" s="122" t="s">
        <v>19</v>
      </c>
      <c r="E491" s="366"/>
      <c r="F491" s="367"/>
      <c r="G491" s="366"/>
      <c r="H491" s="367"/>
      <c r="I491" s="366"/>
      <c r="J491" s="367"/>
      <c r="K491" s="368"/>
      <c r="L491" s="369"/>
      <c r="M491" s="67"/>
      <c r="N491" s="366"/>
      <c r="O491" s="367"/>
      <c r="P491" s="366"/>
      <c r="Q491" s="367"/>
      <c r="R491" s="366"/>
      <c r="S491" s="367"/>
      <c r="T491" s="368"/>
      <c r="U491" s="369"/>
      <c r="V491" s="67"/>
      <c r="W491" s="68"/>
      <c r="X491" s="68"/>
      <c r="Y491" s="68"/>
    </row>
    <row r="492" spans="1:25" s="59" customFormat="1" ht="15.75" customHeight="1">
      <c r="A492" s="60">
        <v>10</v>
      </c>
      <c r="B492" s="119" t="s">
        <v>729</v>
      </c>
      <c r="C492" s="122" t="s">
        <v>687</v>
      </c>
      <c r="D492" s="122" t="s">
        <v>19</v>
      </c>
      <c r="E492" s="366"/>
      <c r="F492" s="367"/>
      <c r="G492" s="366"/>
      <c r="H492" s="367"/>
      <c r="I492" s="366"/>
      <c r="J492" s="367"/>
      <c r="K492" s="368"/>
      <c r="L492" s="369"/>
      <c r="M492" s="67"/>
      <c r="N492" s="366"/>
      <c r="O492" s="367"/>
      <c r="P492" s="366"/>
      <c r="Q492" s="367"/>
      <c r="R492" s="366"/>
      <c r="S492" s="367"/>
      <c r="T492" s="368"/>
      <c r="U492" s="369"/>
      <c r="V492" s="67"/>
      <c r="W492" s="68"/>
      <c r="X492" s="68"/>
      <c r="Y492" s="68"/>
    </row>
    <row r="493" spans="1:25" s="59" customFormat="1" ht="15.75" customHeight="1">
      <c r="A493" s="60"/>
      <c r="B493" s="122"/>
      <c r="C493" s="122"/>
      <c r="D493" s="211"/>
      <c r="E493" s="341"/>
      <c r="F493" s="342"/>
      <c r="G493" s="366"/>
      <c r="H493" s="367"/>
      <c r="I493" s="366"/>
      <c r="J493" s="367"/>
      <c r="K493" s="368"/>
      <c r="L493" s="369"/>
      <c r="M493" s="67"/>
      <c r="N493" s="366"/>
      <c r="O493" s="367"/>
      <c r="P493" s="366"/>
      <c r="Q493" s="367"/>
      <c r="R493" s="366"/>
      <c r="S493" s="367"/>
      <c r="T493" s="368"/>
      <c r="U493" s="369"/>
      <c r="V493" s="67"/>
      <c r="W493" s="68"/>
      <c r="X493" s="68"/>
      <c r="Y493" s="68"/>
    </row>
    <row r="494" spans="1:25" s="59" customFormat="1" ht="15.75" customHeight="1">
      <c r="A494" s="60"/>
      <c r="B494" s="119"/>
      <c r="C494" s="120" t="s">
        <v>397</v>
      </c>
      <c r="D494" s="370" t="s">
        <v>359</v>
      </c>
      <c r="E494" s="371"/>
      <c r="F494" s="372"/>
      <c r="G494" s="366"/>
      <c r="H494" s="367"/>
      <c r="I494" s="366"/>
      <c r="J494" s="367"/>
      <c r="K494" s="368"/>
      <c r="L494" s="369"/>
      <c r="M494" s="67"/>
      <c r="N494" s="366"/>
      <c r="O494" s="367"/>
      <c r="P494" s="366"/>
      <c r="Q494" s="367"/>
      <c r="R494" s="366"/>
      <c r="S494" s="367"/>
      <c r="T494" s="368"/>
      <c r="U494" s="369"/>
      <c r="V494" s="67"/>
      <c r="W494" s="68"/>
      <c r="X494" s="68"/>
      <c r="Y494" s="68"/>
    </row>
    <row r="495" spans="1:25" s="59" customFormat="1" ht="15.75" customHeight="1">
      <c r="A495" s="60">
        <v>11</v>
      </c>
      <c r="B495" s="119">
        <v>9</v>
      </c>
      <c r="C495" s="122" t="s">
        <v>721</v>
      </c>
      <c r="D495" s="119" t="s">
        <v>92</v>
      </c>
      <c r="E495" s="366"/>
      <c r="F495" s="367"/>
      <c r="G495" s="366"/>
      <c r="H495" s="367"/>
      <c r="I495" s="366"/>
      <c r="J495" s="367"/>
      <c r="K495" s="368"/>
      <c r="L495" s="369"/>
      <c r="M495" s="67"/>
      <c r="N495" s="366"/>
      <c r="O495" s="367"/>
      <c r="P495" s="366"/>
      <c r="Q495" s="367"/>
      <c r="R495" s="366"/>
      <c r="S495" s="367"/>
      <c r="T495" s="368"/>
      <c r="U495" s="369"/>
      <c r="V495" s="67"/>
      <c r="W495" s="68"/>
      <c r="X495" s="68"/>
      <c r="Y495" s="68"/>
    </row>
    <row r="496" spans="1:25" s="59" customFormat="1" ht="15.75" customHeight="1">
      <c r="A496" s="60">
        <v>12</v>
      </c>
      <c r="B496" s="119">
        <v>11</v>
      </c>
      <c r="C496" s="122" t="s">
        <v>722</v>
      </c>
      <c r="D496" s="119" t="s">
        <v>19</v>
      </c>
      <c r="E496" s="366"/>
      <c r="F496" s="367"/>
      <c r="G496" s="366"/>
      <c r="H496" s="367"/>
      <c r="I496" s="366"/>
      <c r="J496" s="367"/>
      <c r="K496" s="368"/>
      <c r="L496" s="369"/>
      <c r="M496" s="67"/>
      <c r="N496" s="366"/>
      <c r="O496" s="367"/>
      <c r="P496" s="366"/>
      <c r="Q496" s="367"/>
      <c r="R496" s="366"/>
      <c r="S496" s="367"/>
      <c r="T496" s="368"/>
      <c r="U496" s="369"/>
      <c r="V496" s="67"/>
      <c r="W496" s="68"/>
      <c r="X496" s="68"/>
      <c r="Y496" s="68"/>
    </row>
    <row r="497" spans="1:25" s="59" customFormat="1" ht="15.75" customHeight="1">
      <c r="A497" s="60"/>
      <c r="B497" s="119"/>
      <c r="C497" s="119"/>
      <c r="D497" s="119"/>
      <c r="E497" s="366"/>
      <c r="F497" s="367"/>
      <c r="G497" s="366"/>
      <c r="H497" s="367"/>
      <c r="I497" s="366"/>
      <c r="J497" s="367"/>
      <c r="K497" s="368"/>
      <c r="L497" s="369"/>
      <c r="M497" s="67"/>
      <c r="N497" s="366"/>
      <c r="O497" s="367"/>
      <c r="P497" s="366"/>
      <c r="Q497" s="367"/>
      <c r="R497" s="366"/>
      <c r="S497" s="367"/>
      <c r="T497" s="368"/>
      <c r="U497" s="369"/>
      <c r="V497" s="67"/>
      <c r="W497" s="68"/>
      <c r="X497" s="68"/>
      <c r="Y497" s="68"/>
    </row>
    <row r="498" spans="1:25" s="59" customFormat="1" ht="15.75" customHeight="1">
      <c r="A498" s="60"/>
      <c r="B498" s="119"/>
      <c r="C498" s="119"/>
      <c r="D498" s="119"/>
      <c r="E498" s="366"/>
      <c r="F498" s="367"/>
      <c r="G498" s="366"/>
      <c r="H498" s="367"/>
      <c r="I498" s="366"/>
      <c r="J498" s="367"/>
      <c r="K498" s="368"/>
      <c r="L498" s="369"/>
      <c r="M498" s="67"/>
      <c r="N498" s="366"/>
      <c r="O498" s="367"/>
      <c r="P498" s="366"/>
      <c r="Q498" s="367"/>
      <c r="R498" s="366"/>
      <c r="S498" s="367"/>
      <c r="T498" s="368"/>
      <c r="U498" s="369"/>
      <c r="V498" s="67"/>
      <c r="W498" s="68"/>
      <c r="X498" s="68"/>
      <c r="Y498" s="68"/>
    </row>
    <row r="499" spans="1:4" s="59" customFormat="1" ht="12.75">
      <c r="A499" s="69"/>
      <c r="C499" s="70"/>
      <c r="D499" s="70"/>
    </row>
    <row r="500" spans="1:25" s="59" customFormat="1" ht="12.75">
      <c r="A500" s="394" t="s">
        <v>172</v>
      </c>
      <c r="B500" s="395"/>
      <c r="C500" s="395"/>
      <c r="D500" s="395"/>
      <c r="E500" s="395"/>
      <c r="F500" s="395"/>
      <c r="G500" s="341" t="s">
        <v>172</v>
      </c>
      <c r="H500" s="396"/>
      <c r="I500" s="396"/>
      <c r="J500" s="396"/>
      <c r="K500" s="396"/>
      <c r="L500" s="396"/>
      <c r="M500" s="396"/>
      <c r="N500" s="396"/>
      <c r="O500" s="396"/>
      <c r="P500" s="396"/>
      <c r="Q500" s="396"/>
      <c r="R500" s="397"/>
      <c r="S500" s="354" t="s">
        <v>173</v>
      </c>
      <c r="T500" s="360"/>
      <c r="U500" s="360"/>
      <c r="V500" s="360"/>
      <c r="W500" s="360"/>
      <c r="X500" s="360"/>
      <c r="Y500" s="361"/>
    </row>
    <row r="501" spans="1:25" s="59" customFormat="1" ht="12.75">
      <c r="A501" s="60" t="s">
        <v>0</v>
      </c>
      <c r="B501" s="60" t="s">
        <v>174</v>
      </c>
      <c r="C501" s="60" t="s">
        <v>156</v>
      </c>
      <c r="D501" s="60" t="s">
        <v>157</v>
      </c>
      <c r="E501" s="353" t="s">
        <v>175</v>
      </c>
      <c r="F501" s="353"/>
      <c r="G501" s="63" t="s">
        <v>0</v>
      </c>
      <c r="H501" s="64" t="s">
        <v>174</v>
      </c>
      <c r="I501" s="354" t="s">
        <v>156</v>
      </c>
      <c r="J501" s="360"/>
      <c r="K501" s="360"/>
      <c r="L501" s="361"/>
      <c r="M501" s="391" t="s">
        <v>157</v>
      </c>
      <c r="N501" s="392"/>
      <c r="O501" s="392"/>
      <c r="P501" s="393"/>
      <c r="Q501" s="354" t="s">
        <v>175</v>
      </c>
      <c r="R501" s="361"/>
      <c r="S501" s="72"/>
      <c r="T501" s="73"/>
      <c r="U501" s="73"/>
      <c r="V501" s="57"/>
      <c r="W501" s="57"/>
      <c r="X501" s="57"/>
      <c r="Y501" s="58"/>
    </row>
    <row r="502" spans="1:25" s="59" customFormat="1" ht="15.75" customHeight="1">
      <c r="A502" s="60">
        <v>1</v>
      </c>
      <c r="B502" s="71"/>
      <c r="C502" s="74"/>
      <c r="D502" s="74"/>
      <c r="E502" s="384"/>
      <c r="F502" s="385"/>
      <c r="G502" s="75">
        <v>9</v>
      </c>
      <c r="H502" s="71"/>
      <c r="I502" s="386"/>
      <c r="J502" s="387"/>
      <c r="K502" s="387"/>
      <c r="L502" s="388"/>
      <c r="M502" s="386"/>
      <c r="N502" s="387"/>
      <c r="O502" s="387"/>
      <c r="P502" s="388"/>
      <c r="Q502" s="384"/>
      <c r="R502" s="385"/>
      <c r="S502" s="76"/>
      <c r="T502" s="77"/>
      <c r="U502" s="77"/>
      <c r="V502" s="78"/>
      <c r="W502" s="78"/>
      <c r="X502" s="78"/>
      <c r="Y502" s="79"/>
    </row>
    <row r="503" spans="1:25" s="59" customFormat="1" ht="15.75" customHeight="1">
      <c r="A503" s="60">
        <v>2</v>
      </c>
      <c r="B503" s="71"/>
      <c r="C503" s="74"/>
      <c r="D503" s="74"/>
      <c r="E503" s="384"/>
      <c r="F503" s="385"/>
      <c r="G503" s="75">
        <v>10</v>
      </c>
      <c r="H503" s="71"/>
      <c r="I503" s="386"/>
      <c r="J503" s="387"/>
      <c r="K503" s="387"/>
      <c r="L503" s="388"/>
      <c r="M503" s="386"/>
      <c r="N503" s="387"/>
      <c r="O503" s="387"/>
      <c r="P503" s="388"/>
      <c r="Q503" s="389"/>
      <c r="R503" s="390"/>
      <c r="S503" s="72"/>
      <c r="T503" s="73"/>
      <c r="U503" s="73"/>
      <c r="V503" s="57"/>
      <c r="W503" s="57"/>
      <c r="X503" s="57"/>
      <c r="Y503" s="58"/>
    </row>
    <row r="504" spans="1:25" s="59" customFormat="1" ht="15.75" customHeight="1">
      <c r="A504" s="60">
        <v>3</v>
      </c>
      <c r="B504" s="71"/>
      <c r="C504" s="74"/>
      <c r="D504" s="74"/>
      <c r="E504" s="384"/>
      <c r="F504" s="385"/>
      <c r="G504" s="75">
        <v>11</v>
      </c>
      <c r="H504" s="71"/>
      <c r="I504" s="386"/>
      <c r="J504" s="387"/>
      <c r="K504" s="387"/>
      <c r="L504" s="388"/>
      <c r="M504" s="386"/>
      <c r="N504" s="387"/>
      <c r="O504" s="387"/>
      <c r="P504" s="388"/>
      <c r="Q504" s="389"/>
      <c r="R504" s="390"/>
      <c r="S504" s="76"/>
      <c r="T504" s="77"/>
      <c r="U504" s="77"/>
      <c r="V504" s="78"/>
      <c r="W504" s="78"/>
      <c r="X504" s="78"/>
      <c r="Y504" s="79"/>
    </row>
    <row r="505" spans="1:25" s="59" customFormat="1" ht="15.75" customHeight="1">
      <c r="A505" s="60">
        <v>4</v>
      </c>
      <c r="B505" s="71"/>
      <c r="C505" s="74"/>
      <c r="D505" s="74"/>
      <c r="E505" s="384"/>
      <c r="F505" s="385"/>
      <c r="G505" s="75">
        <v>12</v>
      </c>
      <c r="H505" s="71"/>
      <c r="I505" s="386"/>
      <c r="J505" s="387"/>
      <c r="K505" s="387"/>
      <c r="L505" s="388"/>
      <c r="M505" s="386"/>
      <c r="N505" s="387"/>
      <c r="O505" s="387"/>
      <c r="P505" s="388"/>
      <c r="Q505" s="389"/>
      <c r="R505" s="390"/>
      <c r="S505" s="72"/>
      <c r="T505" s="73"/>
      <c r="U505" s="73"/>
      <c r="V505" s="57"/>
      <c r="W505" s="57"/>
      <c r="X505" s="57"/>
      <c r="Y505" s="58"/>
    </row>
    <row r="506" spans="1:25" s="59" customFormat="1" ht="15.75" customHeight="1">
      <c r="A506" s="60">
        <v>5</v>
      </c>
      <c r="B506" s="71"/>
      <c r="C506" s="74"/>
      <c r="D506" s="74"/>
      <c r="E506" s="384"/>
      <c r="F506" s="385"/>
      <c r="G506" s="75">
        <v>13</v>
      </c>
      <c r="H506" s="71"/>
      <c r="I506" s="386"/>
      <c r="J506" s="387"/>
      <c r="K506" s="387"/>
      <c r="L506" s="388"/>
      <c r="M506" s="386"/>
      <c r="N506" s="387"/>
      <c r="O506" s="387"/>
      <c r="P506" s="388"/>
      <c r="Q506" s="389"/>
      <c r="R506" s="390"/>
      <c r="S506" s="76"/>
      <c r="T506" s="77"/>
      <c r="U506" s="77"/>
      <c r="V506" s="78"/>
      <c r="W506" s="78"/>
      <c r="X506" s="78"/>
      <c r="Y506" s="79"/>
    </row>
    <row r="507" spans="1:25" s="59" customFormat="1" ht="15.75" customHeight="1">
      <c r="A507" s="60">
        <v>6</v>
      </c>
      <c r="B507" s="71"/>
      <c r="C507" s="74"/>
      <c r="D507" s="74"/>
      <c r="E507" s="384"/>
      <c r="F507" s="385"/>
      <c r="G507" s="75">
        <v>14</v>
      </c>
      <c r="H507" s="71"/>
      <c r="I507" s="386"/>
      <c r="J507" s="387"/>
      <c r="K507" s="387"/>
      <c r="L507" s="388"/>
      <c r="M507" s="386"/>
      <c r="N507" s="387"/>
      <c r="O507" s="387"/>
      <c r="P507" s="388"/>
      <c r="Q507" s="389"/>
      <c r="R507" s="390"/>
      <c r="S507" s="354" t="s">
        <v>176</v>
      </c>
      <c r="T507" s="360"/>
      <c r="U507" s="360"/>
      <c r="V507" s="360"/>
      <c r="W507" s="360"/>
      <c r="X507" s="360"/>
      <c r="Y507" s="361"/>
    </row>
    <row r="508" spans="1:25" s="59" customFormat="1" ht="15.75" customHeight="1">
      <c r="A508" s="60">
        <v>7</v>
      </c>
      <c r="B508" s="71"/>
      <c r="C508" s="74"/>
      <c r="D508" s="74"/>
      <c r="E508" s="384"/>
      <c r="F508" s="385"/>
      <c r="G508" s="75">
        <v>15</v>
      </c>
      <c r="H508" s="71"/>
      <c r="I508" s="386"/>
      <c r="J508" s="387"/>
      <c r="K508" s="387"/>
      <c r="L508" s="388"/>
      <c r="M508" s="386"/>
      <c r="N508" s="387"/>
      <c r="O508" s="387"/>
      <c r="P508" s="388"/>
      <c r="Q508" s="389"/>
      <c r="R508" s="390"/>
      <c r="S508" s="72"/>
      <c r="T508" s="73"/>
      <c r="U508" s="73"/>
      <c r="V508" s="57"/>
      <c r="W508" s="57"/>
      <c r="X508" s="57"/>
      <c r="Y508" s="58"/>
    </row>
    <row r="509" spans="1:25" s="59" customFormat="1" ht="15.75" customHeight="1">
      <c r="A509" s="60">
        <v>8</v>
      </c>
      <c r="B509" s="71"/>
      <c r="C509" s="74"/>
      <c r="D509" s="74"/>
      <c r="E509" s="384"/>
      <c r="F509" s="385"/>
      <c r="G509" s="75">
        <v>16</v>
      </c>
      <c r="H509" s="71"/>
      <c r="I509" s="386"/>
      <c r="J509" s="387"/>
      <c r="K509" s="387"/>
      <c r="L509" s="388"/>
      <c r="M509" s="386"/>
      <c r="N509" s="387"/>
      <c r="O509" s="387"/>
      <c r="P509" s="388"/>
      <c r="Q509" s="389"/>
      <c r="R509" s="390"/>
      <c r="S509" s="76"/>
      <c r="T509" s="77"/>
      <c r="U509" s="77"/>
      <c r="V509" s="78"/>
      <c r="W509" s="78"/>
      <c r="X509" s="78"/>
      <c r="Y509" s="79"/>
    </row>
    <row r="512" spans="1:25" s="59" customFormat="1" ht="20.25">
      <c r="A512" s="336" t="s">
        <v>147</v>
      </c>
      <c r="B512" s="337"/>
      <c r="C512" s="337"/>
      <c r="D512" s="337"/>
      <c r="E512" s="337"/>
      <c r="F512" s="337"/>
      <c r="G512" s="337"/>
      <c r="H512" s="337"/>
      <c r="I512" s="337"/>
      <c r="J512" s="337"/>
      <c r="K512" s="337"/>
      <c r="L512" s="337"/>
      <c r="M512" s="337"/>
      <c r="N512" s="337"/>
      <c r="O512" s="337"/>
      <c r="P512" s="337"/>
      <c r="Q512" s="337"/>
      <c r="R512" s="337"/>
      <c r="S512" s="337"/>
      <c r="T512" s="337"/>
      <c r="U512" s="337"/>
      <c r="V512" s="337"/>
      <c r="W512" s="337"/>
      <c r="X512" s="337"/>
      <c r="Y512" s="338"/>
    </row>
    <row r="513" spans="1:25" s="59" customFormat="1" ht="15.75" customHeight="1">
      <c r="A513" s="339" t="s">
        <v>148</v>
      </c>
      <c r="B513" s="340"/>
      <c r="C513" s="341" t="s">
        <v>177</v>
      </c>
      <c r="D513" s="342"/>
      <c r="E513" s="339" t="s">
        <v>149</v>
      </c>
      <c r="F513" s="343"/>
      <c r="G513" s="340"/>
      <c r="H513" s="341" t="s">
        <v>360</v>
      </c>
      <c r="I513" s="344"/>
      <c r="J513" s="345"/>
      <c r="K513" s="345"/>
      <c r="L513" s="346"/>
      <c r="M513" s="347" t="s">
        <v>150</v>
      </c>
      <c r="N513" s="348"/>
      <c r="O513" s="349"/>
      <c r="P513" s="350" t="s">
        <v>372</v>
      </c>
      <c r="Q513" s="351"/>
      <c r="R513" s="351"/>
      <c r="S513" s="351"/>
      <c r="T513" s="351"/>
      <c r="U513" s="351"/>
      <c r="V513" s="351"/>
      <c r="W513" s="351"/>
      <c r="X513" s="351"/>
      <c r="Y513" s="352"/>
    </row>
    <row r="514" spans="1:25" s="59" customFormat="1" ht="15.75" customHeight="1">
      <c r="A514" s="339" t="s">
        <v>179</v>
      </c>
      <c r="B514" s="340"/>
      <c r="C514" s="377" t="s">
        <v>203</v>
      </c>
      <c r="D514" s="378"/>
      <c r="E514" s="339" t="s">
        <v>151</v>
      </c>
      <c r="F514" s="343"/>
      <c r="G514" s="340"/>
      <c r="H514" s="379" t="s">
        <v>207</v>
      </c>
      <c r="I514" s="380"/>
      <c r="J514" s="339" t="s">
        <v>152</v>
      </c>
      <c r="K514" s="343"/>
      <c r="L514" s="340"/>
      <c r="M514" s="381"/>
      <c r="N514" s="375"/>
      <c r="O514" s="376"/>
      <c r="P514" s="373" t="s">
        <v>153</v>
      </c>
      <c r="Q514" s="374"/>
      <c r="R514" s="375"/>
      <c r="S514" s="375"/>
      <c r="T514" s="375" t="e">
        <f>VLOOKUP(I512,eventslist,4,FALSE)</f>
        <v>#NAME?</v>
      </c>
      <c r="U514" s="375"/>
      <c r="V514" s="375" t="e">
        <f>VLOOKUP(K512,eventslist,4,FALSE)</f>
        <v>#NAME?</v>
      </c>
      <c r="W514" s="375"/>
      <c r="X514" s="375" t="e">
        <f>VLOOKUP(M512,eventslist,4,FALSE)</f>
        <v>#NAME?</v>
      </c>
      <c r="Y514" s="376"/>
    </row>
    <row r="515" spans="1:25" s="59" customFormat="1" ht="31.5" customHeight="1">
      <c r="A515" s="60" t="s">
        <v>154</v>
      </c>
      <c r="B515" s="60" t="s">
        <v>155</v>
      </c>
      <c r="C515" s="61" t="s">
        <v>156</v>
      </c>
      <c r="D515" s="62" t="s">
        <v>157</v>
      </c>
      <c r="E515" s="362" t="s">
        <v>158</v>
      </c>
      <c r="F515" s="357"/>
      <c r="G515" s="357" t="s">
        <v>159</v>
      </c>
      <c r="H515" s="357"/>
      <c r="I515" s="357" t="s">
        <v>160</v>
      </c>
      <c r="J515" s="357"/>
      <c r="K515" s="357" t="s">
        <v>161</v>
      </c>
      <c r="L515" s="357"/>
      <c r="M515" s="355" t="s">
        <v>162</v>
      </c>
      <c r="N515" s="357" t="s">
        <v>163</v>
      </c>
      <c r="O515" s="357"/>
      <c r="P515" s="357" t="s">
        <v>164</v>
      </c>
      <c r="Q515" s="357"/>
      <c r="R515" s="357" t="s">
        <v>165</v>
      </c>
      <c r="S515" s="357"/>
      <c r="T515" s="357" t="s">
        <v>166</v>
      </c>
      <c r="U515" s="358"/>
      <c r="V515" s="359" t="s">
        <v>167</v>
      </c>
      <c r="W515" s="354" t="s">
        <v>168</v>
      </c>
      <c r="X515" s="360"/>
      <c r="Y515" s="361"/>
    </row>
    <row r="516" spans="1:25" s="59" customFormat="1" ht="12.75">
      <c r="A516" s="63"/>
      <c r="B516" s="63"/>
      <c r="C516" s="120" t="s">
        <v>398</v>
      </c>
      <c r="D516" s="370" t="s">
        <v>316</v>
      </c>
      <c r="E516" s="371"/>
      <c r="F516" s="372"/>
      <c r="G516" s="353" t="s">
        <v>169</v>
      </c>
      <c r="H516" s="353"/>
      <c r="I516" s="353" t="s">
        <v>169</v>
      </c>
      <c r="J516" s="353"/>
      <c r="K516" s="353" t="s">
        <v>169</v>
      </c>
      <c r="L516" s="353"/>
      <c r="M516" s="356"/>
      <c r="N516" s="353" t="s">
        <v>169</v>
      </c>
      <c r="O516" s="353"/>
      <c r="P516" s="353" t="s">
        <v>169</v>
      </c>
      <c r="Q516" s="353"/>
      <c r="R516" s="353" t="s">
        <v>169</v>
      </c>
      <c r="S516" s="353"/>
      <c r="T516" s="353" t="s">
        <v>169</v>
      </c>
      <c r="U516" s="354"/>
      <c r="V516" s="355"/>
      <c r="W516" s="60"/>
      <c r="X516" s="60" t="s">
        <v>170</v>
      </c>
      <c r="Y516" s="60" t="s">
        <v>171</v>
      </c>
    </row>
    <row r="517" spans="1:25" s="59" customFormat="1" ht="15.75" customHeight="1">
      <c r="A517" s="63">
        <v>1</v>
      </c>
      <c r="B517" s="119">
        <v>1</v>
      </c>
      <c r="C517" s="122" t="s">
        <v>637</v>
      </c>
      <c r="D517" s="122" t="s">
        <v>20</v>
      </c>
      <c r="E517" s="366"/>
      <c r="F517" s="367"/>
      <c r="G517" s="366"/>
      <c r="H517" s="367"/>
      <c r="I517" s="366"/>
      <c r="J517" s="367"/>
      <c r="K517" s="368"/>
      <c r="L517" s="369"/>
      <c r="M517" s="67"/>
      <c r="N517" s="366"/>
      <c r="O517" s="367"/>
      <c r="P517" s="366"/>
      <c r="Q517" s="367"/>
      <c r="R517" s="366"/>
      <c r="S517" s="367"/>
      <c r="T517" s="368"/>
      <c r="U517" s="369"/>
      <c r="V517" s="67"/>
      <c r="W517" s="68"/>
      <c r="X517" s="68"/>
      <c r="Y517" s="68"/>
    </row>
    <row r="518" spans="1:25" s="59" customFormat="1" ht="15.75" customHeight="1">
      <c r="A518" s="60">
        <v>2</v>
      </c>
      <c r="B518" s="119">
        <v>2</v>
      </c>
      <c r="C518" s="122" t="s">
        <v>638</v>
      </c>
      <c r="D518" s="122" t="s">
        <v>20</v>
      </c>
      <c r="E518" s="366"/>
      <c r="F518" s="367"/>
      <c r="G518" s="366"/>
      <c r="H518" s="367"/>
      <c r="I518" s="366"/>
      <c r="J518" s="367"/>
      <c r="K518" s="368"/>
      <c r="L518" s="369"/>
      <c r="M518" s="67"/>
      <c r="N518" s="366"/>
      <c r="O518" s="367"/>
      <c r="P518" s="366"/>
      <c r="Q518" s="367"/>
      <c r="R518" s="366"/>
      <c r="S518" s="367"/>
      <c r="T518" s="368"/>
      <c r="U518" s="369"/>
      <c r="V518" s="67"/>
      <c r="W518" s="68"/>
      <c r="X518" s="68"/>
      <c r="Y518" s="68"/>
    </row>
    <row r="519" spans="1:25" s="59" customFormat="1" ht="15.75" customHeight="1">
      <c r="A519" s="60">
        <v>3</v>
      </c>
      <c r="B519" s="119">
        <v>3</v>
      </c>
      <c r="C519" s="122" t="s">
        <v>639</v>
      </c>
      <c r="D519" s="122" t="s">
        <v>16</v>
      </c>
      <c r="E519" s="366"/>
      <c r="F519" s="367"/>
      <c r="G519" s="366"/>
      <c r="H519" s="367"/>
      <c r="I519" s="366"/>
      <c r="J519" s="367"/>
      <c r="K519" s="368"/>
      <c r="L519" s="369"/>
      <c r="M519" s="67"/>
      <c r="N519" s="366"/>
      <c r="O519" s="367"/>
      <c r="P519" s="366"/>
      <c r="Q519" s="367"/>
      <c r="R519" s="366"/>
      <c r="S519" s="367"/>
      <c r="T519" s="368"/>
      <c r="U519" s="369"/>
      <c r="V519" s="67"/>
      <c r="W519" s="68"/>
      <c r="X519" s="68"/>
      <c r="Y519" s="68"/>
    </row>
    <row r="520" spans="1:25" s="59" customFormat="1" ht="15.75" customHeight="1">
      <c r="A520" s="60">
        <v>4</v>
      </c>
      <c r="B520" s="119">
        <v>4</v>
      </c>
      <c r="C520" s="122" t="s">
        <v>640</v>
      </c>
      <c r="D520" s="122" t="s">
        <v>16</v>
      </c>
      <c r="E520" s="366"/>
      <c r="F520" s="367"/>
      <c r="G520" s="366"/>
      <c r="H520" s="367"/>
      <c r="I520" s="366"/>
      <c r="J520" s="367"/>
      <c r="K520" s="368"/>
      <c r="L520" s="369"/>
      <c r="M520" s="67"/>
      <c r="N520" s="366"/>
      <c r="O520" s="367"/>
      <c r="P520" s="366"/>
      <c r="Q520" s="367"/>
      <c r="R520" s="366"/>
      <c r="S520" s="367"/>
      <c r="T520" s="368"/>
      <c r="U520" s="369"/>
      <c r="V520" s="67"/>
      <c r="W520" s="68"/>
      <c r="X520" s="68"/>
      <c r="Y520" s="68"/>
    </row>
    <row r="521" spans="1:25" s="59" customFormat="1" ht="15.75" customHeight="1">
      <c r="A521" s="60">
        <v>5</v>
      </c>
      <c r="B521" s="119">
        <v>7</v>
      </c>
      <c r="C521" s="122" t="s">
        <v>642</v>
      </c>
      <c r="D521" s="122" t="s">
        <v>22</v>
      </c>
      <c r="E521" s="366"/>
      <c r="F521" s="367"/>
      <c r="G521" s="366"/>
      <c r="H521" s="367"/>
      <c r="I521" s="366"/>
      <c r="J521" s="367"/>
      <c r="K521" s="368"/>
      <c r="L521" s="369"/>
      <c r="M521" s="67"/>
      <c r="N521" s="366"/>
      <c r="O521" s="367"/>
      <c r="P521" s="366"/>
      <c r="Q521" s="367"/>
      <c r="R521" s="366"/>
      <c r="S521" s="367"/>
      <c r="T521" s="368"/>
      <c r="U521" s="369"/>
      <c r="V521" s="67"/>
      <c r="W521" s="68"/>
      <c r="X521" s="68"/>
      <c r="Y521" s="68"/>
    </row>
    <row r="522" spans="1:25" s="59" customFormat="1" ht="15.75" customHeight="1">
      <c r="A522" s="60">
        <v>6</v>
      </c>
      <c r="B522" s="119">
        <v>8</v>
      </c>
      <c r="C522" s="122" t="s">
        <v>643</v>
      </c>
      <c r="D522" s="122" t="s">
        <v>22</v>
      </c>
      <c r="E522" s="366"/>
      <c r="F522" s="367"/>
      <c r="G522" s="366"/>
      <c r="H522" s="367"/>
      <c r="I522" s="366"/>
      <c r="J522" s="367"/>
      <c r="K522" s="368"/>
      <c r="L522" s="369"/>
      <c r="M522" s="67"/>
      <c r="N522" s="366"/>
      <c r="O522" s="367"/>
      <c r="P522" s="366"/>
      <c r="Q522" s="367"/>
      <c r="R522" s="366"/>
      <c r="S522" s="367"/>
      <c r="T522" s="368"/>
      <c r="U522" s="369"/>
      <c r="V522" s="67"/>
      <c r="W522" s="68"/>
      <c r="X522" s="68"/>
      <c r="Y522" s="68"/>
    </row>
    <row r="523" spans="1:25" s="59" customFormat="1" ht="15.75" customHeight="1">
      <c r="A523" s="60">
        <v>7</v>
      </c>
      <c r="B523" s="119">
        <v>9</v>
      </c>
      <c r="C523" s="122" t="s">
        <v>644</v>
      </c>
      <c r="D523" s="122" t="s">
        <v>92</v>
      </c>
      <c r="E523" s="366"/>
      <c r="F523" s="367"/>
      <c r="G523" s="366"/>
      <c r="H523" s="367"/>
      <c r="I523" s="366"/>
      <c r="J523" s="367"/>
      <c r="K523" s="368"/>
      <c r="L523" s="369"/>
      <c r="M523" s="67"/>
      <c r="N523" s="366"/>
      <c r="O523" s="367"/>
      <c r="P523" s="366"/>
      <c r="Q523" s="367"/>
      <c r="R523" s="366"/>
      <c r="S523" s="367"/>
      <c r="T523" s="368"/>
      <c r="U523" s="369"/>
      <c r="V523" s="67"/>
      <c r="W523" s="68"/>
      <c r="X523" s="68"/>
      <c r="Y523" s="68"/>
    </row>
    <row r="524" spans="1:25" s="59" customFormat="1" ht="15.75" customHeight="1">
      <c r="A524" s="60">
        <v>8</v>
      </c>
      <c r="B524" s="119">
        <v>10</v>
      </c>
      <c r="C524" s="122" t="s">
        <v>645</v>
      </c>
      <c r="D524" s="122" t="s">
        <v>92</v>
      </c>
      <c r="E524" s="366"/>
      <c r="F524" s="367"/>
      <c r="G524" s="366"/>
      <c r="H524" s="367"/>
      <c r="I524" s="366"/>
      <c r="J524" s="367"/>
      <c r="K524" s="368"/>
      <c r="L524" s="369"/>
      <c r="M524" s="67"/>
      <c r="N524" s="366"/>
      <c r="O524" s="367"/>
      <c r="P524" s="366"/>
      <c r="Q524" s="367"/>
      <c r="R524" s="366"/>
      <c r="S524" s="367"/>
      <c r="T524" s="368"/>
      <c r="U524" s="369"/>
      <c r="V524" s="67"/>
      <c r="W524" s="68"/>
      <c r="X524" s="68"/>
      <c r="Y524" s="68"/>
    </row>
    <row r="525" spans="1:25" s="59" customFormat="1" ht="15.75" customHeight="1">
      <c r="A525" s="60">
        <v>9</v>
      </c>
      <c r="B525" s="122">
        <v>11</v>
      </c>
      <c r="C525" s="122" t="s">
        <v>559</v>
      </c>
      <c r="D525" s="119" t="s">
        <v>19</v>
      </c>
      <c r="E525" s="366"/>
      <c r="F525" s="367"/>
      <c r="G525" s="366"/>
      <c r="H525" s="367"/>
      <c r="I525" s="366"/>
      <c r="J525" s="367"/>
      <c r="K525" s="368"/>
      <c r="L525" s="369"/>
      <c r="M525" s="67"/>
      <c r="N525" s="366"/>
      <c r="O525" s="367"/>
      <c r="P525" s="366"/>
      <c r="Q525" s="367"/>
      <c r="R525" s="366"/>
      <c r="S525" s="367"/>
      <c r="T525" s="368"/>
      <c r="U525" s="369"/>
      <c r="V525" s="67"/>
      <c r="W525" s="68"/>
      <c r="X525" s="68"/>
      <c r="Y525" s="68"/>
    </row>
    <row r="526" spans="1:25" s="59" customFormat="1" ht="15.75" customHeight="1">
      <c r="A526" s="60">
        <v>10</v>
      </c>
      <c r="B526" s="119">
        <v>12</v>
      </c>
      <c r="C526" s="122" t="s">
        <v>646</v>
      </c>
      <c r="D526" s="122" t="s">
        <v>19</v>
      </c>
      <c r="E526" s="366"/>
      <c r="F526" s="367"/>
      <c r="G526" s="366"/>
      <c r="H526" s="367"/>
      <c r="I526" s="366"/>
      <c r="J526" s="367"/>
      <c r="K526" s="368"/>
      <c r="L526" s="369"/>
      <c r="M526" s="67"/>
      <c r="N526" s="366"/>
      <c r="O526" s="367"/>
      <c r="P526" s="366"/>
      <c r="Q526" s="367"/>
      <c r="R526" s="366"/>
      <c r="S526" s="367"/>
      <c r="T526" s="368"/>
      <c r="U526" s="369"/>
      <c r="V526" s="67"/>
      <c r="W526" s="68"/>
      <c r="X526" s="68"/>
      <c r="Y526" s="68"/>
    </row>
    <row r="527" spans="1:25" s="59" customFormat="1" ht="15.75" customHeight="1">
      <c r="A527" s="60">
        <v>11</v>
      </c>
      <c r="B527" s="119">
        <v>5</v>
      </c>
      <c r="C527" s="122" t="s">
        <v>641</v>
      </c>
      <c r="D527" s="119" t="s">
        <v>18</v>
      </c>
      <c r="E527" s="366"/>
      <c r="F527" s="367"/>
      <c r="G527" s="366"/>
      <c r="H527" s="367"/>
      <c r="I527" s="366"/>
      <c r="J527" s="367"/>
      <c r="K527" s="368"/>
      <c r="L527" s="369"/>
      <c r="M527" s="67"/>
      <c r="N527" s="366"/>
      <c r="O527" s="367"/>
      <c r="P527" s="366"/>
      <c r="Q527" s="367"/>
      <c r="R527" s="366"/>
      <c r="S527" s="367"/>
      <c r="T527" s="368"/>
      <c r="U527" s="369"/>
      <c r="V527" s="67"/>
      <c r="W527" s="68"/>
      <c r="X527" s="68"/>
      <c r="Y527" s="68"/>
    </row>
    <row r="528" spans="1:25" s="59" customFormat="1" ht="15.75" customHeight="1">
      <c r="A528" s="60"/>
      <c r="B528" s="119"/>
      <c r="C528" s="122"/>
      <c r="D528" s="122"/>
      <c r="E528" s="366"/>
      <c r="F528" s="367"/>
      <c r="G528" s="366"/>
      <c r="H528" s="367"/>
      <c r="I528" s="366"/>
      <c r="J528" s="367"/>
      <c r="K528" s="368"/>
      <c r="L528" s="369"/>
      <c r="M528" s="67"/>
      <c r="N528" s="366"/>
      <c r="O528" s="367"/>
      <c r="P528" s="366"/>
      <c r="Q528" s="367"/>
      <c r="R528" s="366"/>
      <c r="S528" s="367"/>
      <c r="T528" s="368"/>
      <c r="U528" s="369"/>
      <c r="V528" s="67"/>
      <c r="W528" s="68"/>
      <c r="X528" s="68"/>
      <c r="Y528" s="68"/>
    </row>
    <row r="529" spans="1:25" s="59" customFormat="1" ht="15.75" customHeight="1">
      <c r="A529" s="60"/>
      <c r="B529" s="119"/>
      <c r="C529" s="119"/>
      <c r="D529" s="119"/>
      <c r="E529" s="366"/>
      <c r="F529" s="367"/>
      <c r="G529" s="366"/>
      <c r="H529" s="367"/>
      <c r="I529" s="366"/>
      <c r="J529" s="367"/>
      <c r="K529" s="368"/>
      <c r="L529" s="369"/>
      <c r="M529" s="67"/>
      <c r="N529" s="366"/>
      <c r="O529" s="367"/>
      <c r="P529" s="366"/>
      <c r="Q529" s="367"/>
      <c r="R529" s="366"/>
      <c r="S529" s="367"/>
      <c r="T529" s="368"/>
      <c r="U529" s="369"/>
      <c r="V529" s="67"/>
      <c r="W529" s="68"/>
      <c r="X529" s="68"/>
      <c r="Y529" s="68"/>
    </row>
    <row r="530" spans="1:25" s="59" customFormat="1" ht="15.75" customHeight="1">
      <c r="A530" s="60"/>
      <c r="B530" s="119"/>
      <c r="C530" s="119"/>
      <c r="D530" s="119"/>
      <c r="E530" s="366"/>
      <c r="F530" s="367"/>
      <c r="G530" s="366"/>
      <c r="H530" s="367"/>
      <c r="I530" s="366"/>
      <c r="J530" s="367"/>
      <c r="K530" s="368"/>
      <c r="L530" s="369"/>
      <c r="M530" s="67"/>
      <c r="N530" s="366"/>
      <c r="O530" s="367"/>
      <c r="P530" s="366"/>
      <c r="Q530" s="367"/>
      <c r="R530" s="366"/>
      <c r="S530" s="367"/>
      <c r="T530" s="368"/>
      <c r="U530" s="369"/>
      <c r="V530" s="67"/>
      <c r="W530" s="68"/>
      <c r="X530" s="68"/>
      <c r="Y530" s="68"/>
    </row>
    <row r="531" spans="1:4" s="59" customFormat="1" ht="12.75">
      <c r="A531" s="69"/>
      <c r="C531" s="70"/>
      <c r="D531" s="70"/>
    </row>
    <row r="532" spans="1:25" s="59" customFormat="1" ht="12.75">
      <c r="A532" s="394" t="s">
        <v>172</v>
      </c>
      <c r="B532" s="395"/>
      <c r="C532" s="395"/>
      <c r="D532" s="395"/>
      <c r="E532" s="395"/>
      <c r="F532" s="395"/>
      <c r="G532" s="341" t="s">
        <v>172</v>
      </c>
      <c r="H532" s="396"/>
      <c r="I532" s="396"/>
      <c r="J532" s="396"/>
      <c r="K532" s="396"/>
      <c r="L532" s="396"/>
      <c r="M532" s="396"/>
      <c r="N532" s="396"/>
      <c r="O532" s="396"/>
      <c r="P532" s="396"/>
      <c r="Q532" s="396"/>
      <c r="R532" s="397"/>
      <c r="S532" s="354" t="s">
        <v>173</v>
      </c>
      <c r="T532" s="360"/>
      <c r="U532" s="360"/>
      <c r="V532" s="360"/>
      <c r="W532" s="360"/>
      <c r="X532" s="360"/>
      <c r="Y532" s="361"/>
    </row>
    <row r="533" spans="1:25" s="59" customFormat="1" ht="12.75">
      <c r="A533" s="60" t="s">
        <v>0</v>
      </c>
      <c r="B533" s="60" t="s">
        <v>174</v>
      </c>
      <c r="C533" s="60" t="s">
        <v>156</v>
      </c>
      <c r="D533" s="60" t="s">
        <v>157</v>
      </c>
      <c r="E533" s="353" t="s">
        <v>175</v>
      </c>
      <c r="F533" s="353"/>
      <c r="G533" s="63" t="s">
        <v>0</v>
      </c>
      <c r="H533" s="64" t="s">
        <v>174</v>
      </c>
      <c r="I533" s="354" t="s">
        <v>156</v>
      </c>
      <c r="J533" s="360"/>
      <c r="K533" s="360"/>
      <c r="L533" s="361"/>
      <c r="M533" s="391" t="s">
        <v>157</v>
      </c>
      <c r="N533" s="392"/>
      <c r="O533" s="392"/>
      <c r="P533" s="393"/>
      <c r="Q533" s="354" t="s">
        <v>175</v>
      </c>
      <c r="R533" s="361"/>
      <c r="S533" s="72"/>
      <c r="T533" s="73"/>
      <c r="U533" s="73"/>
      <c r="V533" s="57"/>
      <c r="W533" s="57"/>
      <c r="X533" s="57"/>
      <c r="Y533" s="58"/>
    </row>
    <row r="534" spans="1:25" s="59" customFormat="1" ht="15.75" customHeight="1">
      <c r="A534" s="60">
        <v>1</v>
      </c>
      <c r="B534" s="71"/>
      <c r="C534" s="74"/>
      <c r="D534" s="74"/>
      <c r="E534" s="384"/>
      <c r="F534" s="385"/>
      <c r="G534" s="75">
        <v>9</v>
      </c>
      <c r="H534" s="71"/>
      <c r="I534" s="386"/>
      <c r="J534" s="387"/>
      <c r="K534" s="387"/>
      <c r="L534" s="388"/>
      <c r="M534" s="386"/>
      <c r="N534" s="387"/>
      <c r="O534" s="387"/>
      <c r="P534" s="388"/>
      <c r="Q534" s="384"/>
      <c r="R534" s="385"/>
      <c r="S534" s="76"/>
      <c r="T534" s="77"/>
      <c r="U534" s="77"/>
      <c r="V534" s="78"/>
      <c r="W534" s="78"/>
      <c r="X534" s="78"/>
      <c r="Y534" s="79"/>
    </row>
    <row r="535" spans="1:25" s="59" customFormat="1" ht="15.75" customHeight="1">
      <c r="A535" s="60">
        <v>2</v>
      </c>
      <c r="B535" s="71"/>
      <c r="C535" s="74"/>
      <c r="D535" s="74"/>
      <c r="E535" s="384"/>
      <c r="F535" s="385"/>
      <c r="G535" s="75">
        <v>10</v>
      </c>
      <c r="H535" s="71"/>
      <c r="I535" s="386"/>
      <c r="J535" s="387"/>
      <c r="K535" s="387"/>
      <c r="L535" s="388"/>
      <c r="M535" s="386"/>
      <c r="N535" s="387"/>
      <c r="O535" s="387"/>
      <c r="P535" s="388"/>
      <c r="Q535" s="389"/>
      <c r="R535" s="390"/>
      <c r="S535" s="72"/>
      <c r="T535" s="73"/>
      <c r="U535" s="73"/>
      <c r="V535" s="57"/>
      <c r="W535" s="57"/>
      <c r="X535" s="57"/>
      <c r="Y535" s="58"/>
    </row>
    <row r="536" spans="1:25" s="59" customFormat="1" ht="15.75" customHeight="1">
      <c r="A536" s="60">
        <v>3</v>
      </c>
      <c r="B536" s="71"/>
      <c r="C536" s="74"/>
      <c r="D536" s="74"/>
      <c r="E536" s="384"/>
      <c r="F536" s="385"/>
      <c r="G536" s="75">
        <v>11</v>
      </c>
      <c r="H536" s="71"/>
      <c r="I536" s="386"/>
      <c r="J536" s="387"/>
      <c r="K536" s="387"/>
      <c r="L536" s="388"/>
      <c r="M536" s="386"/>
      <c r="N536" s="387"/>
      <c r="O536" s="387"/>
      <c r="P536" s="388"/>
      <c r="Q536" s="389"/>
      <c r="R536" s="390"/>
      <c r="S536" s="76"/>
      <c r="T536" s="77"/>
      <c r="U536" s="77"/>
      <c r="V536" s="78"/>
      <c r="W536" s="78"/>
      <c r="X536" s="78"/>
      <c r="Y536" s="79"/>
    </row>
    <row r="537" spans="1:25" s="59" customFormat="1" ht="15.75" customHeight="1">
      <c r="A537" s="60">
        <v>4</v>
      </c>
      <c r="B537" s="71"/>
      <c r="C537" s="74"/>
      <c r="D537" s="74"/>
      <c r="E537" s="384"/>
      <c r="F537" s="385"/>
      <c r="G537" s="75">
        <v>12</v>
      </c>
      <c r="H537" s="71"/>
      <c r="I537" s="386"/>
      <c r="J537" s="387"/>
      <c r="K537" s="387"/>
      <c r="L537" s="388"/>
      <c r="M537" s="386"/>
      <c r="N537" s="387"/>
      <c r="O537" s="387"/>
      <c r="P537" s="388"/>
      <c r="Q537" s="389"/>
      <c r="R537" s="390"/>
      <c r="S537" s="72"/>
      <c r="T537" s="73"/>
      <c r="U537" s="73"/>
      <c r="V537" s="57"/>
      <c r="W537" s="57"/>
      <c r="X537" s="57"/>
      <c r="Y537" s="58"/>
    </row>
    <row r="538" spans="1:25" s="59" customFormat="1" ht="15.75" customHeight="1">
      <c r="A538" s="60">
        <v>5</v>
      </c>
      <c r="B538" s="71"/>
      <c r="C538" s="74"/>
      <c r="D538" s="74"/>
      <c r="E538" s="384"/>
      <c r="F538" s="385"/>
      <c r="G538" s="75">
        <v>13</v>
      </c>
      <c r="H538" s="71"/>
      <c r="I538" s="386"/>
      <c r="J538" s="387"/>
      <c r="K538" s="387"/>
      <c r="L538" s="388"/>
      <c r="M538" s="386"/>
      <c r="N538" s="387"/>
      <c r="O538" s="387"/>
      <c r="P538" s="388"/>
      <c r="Q538" s="389"/>
      <c r="R538" s="390"/>
      <c r="S538" s="76"/>
      <c r="T538" s="77"/>
      <c r="U538" s="77"/>
      <c r="V538" s="78"/>
      <c r="W538" s="78"/>
      <c r="X538" s="78"/>
      <c r="Y538" s="79"/>
    </row>
    <row r="539" spans="1:25" s="59" customFormat="1" ht="15.75" customHeight="1">
      <c r="A539" s="60">
        <v>6</v>
      </c>
      <c r="B539" s="71"/>
      <c r="C539" s="74"/>
      <c r="D539" s="74"/>
      <c r="E539" s="384"/>
      <c r="F539" s="385"/>
      <c r="G539" s="75">
        <v>14</v>
      </c>
      <c r="H539" s="71"/>
      <c r="I539" s="386"/>
      <c r="J539" s="387"/>
      <c r="K539" s="387"/>
      <c r="L539" s="388"/>
      <c r="M539" s="386"/>
      <c r="N539" s="387"/>
      <c r="O539" s="387"/>
      <c r="P539" s="388"/>
      <c r="Q539" s="389"/>
      <c r="R539" s="390"/>
      <c r="S539" s="354" t="s">
        <v>176</v>
      </c>
      <c r="T539" s="360"/>
      <c r="U539" s="360"/>
      <c r="V539" s="360"/>
      <c r="W539" s="360"/>
      <c r="X539" s="360"/>
      <c r="Y539" s="361"/>
    </row>
    <row r="540" spans="1:25" s="59" customFormat="1" ht="15.75" customHeight="1">
      <c r="A540" s="60">
        <v>7</v>
      </c>
      <c r="B540" s="71"/>
      <c r="C540" s="74"/>
      <c r="D540" s="74"/>
      <c r="E540" s="384"/>
      <c r="F540" s="385"/>
      <c r="G540" s="75">
        <v>15</v>
      </c>
      <c r="H540" s="71"/>
      <c r="I540" s="386"/>
      <c r="J540" s="387"/>
      <c r="K540" s="387"/>
      <c r="L540" s="388"/>
      <c r="M540" s="386"/>
      <c r="N540" s="387"/>
      <c r="O540" s="387"/>
      <c r="P540" s="388"/>
      <c r="Q540" s="389"/>
      <c r="R540" s="390"/>
      <c r="S540" s="72"/>
      <c r="T540" s="73"/>
      <c r="U540" s="73"/>
      <c r="V540" s="57"/>
      <c r="W540" s="57"/>
      <c r="X540" s="57"/>
      <c r="Y540" s="58"/>
    </row>
    <row r="541" spans="1:25" s="59" customFormat="1" ht="15.75" customHeight="1">
      <c r="A541" s="60">
        <v>8</v>
      </c>
      <c r="B541" s="71"/>
      <c r="C541" s="74"/>
      <c r="D541" s="74"/>
      <c r="E541" s="384"/>
      <c r="F541" s="385"/>
      <c r="G541" s="75">
        <v>16</v>
      </c>
      <c r="H541" s="71"/>
      <c r="I541" s="386"/>
      <c r="J541" s="387"/>
      <c r="K541" s="387"/>
      <c r="L541" s="388"/>
      <c r="M541" s="386"/>
      <c r="N541" s="387"/>
      <c r="O541" s="387"/>
      <c r="P541" s="388"/>
      <c r="Q541" s="389"/>
      <c r="R541" s="390"/>
      <c r="S541" s="76"/>
      <c r="T541" s="77"/>
      <c r="U541" s="77"/>
      <c r="V541" s="78"/>
      <c r="W541" s="78"/>
      <c r="X541" s="78"/>
      <c r="Y541" s="79"/>
    </row>
    <row r="544" spans="1:25" s="59" customFormat="1" ht="20.25">
      <c r="A544" s="336" t="s">
        <v>147</v>
      </c>
      <c r="B544" s="337"/>
      <c r="C544" s="337"/>
      <c r="D544" s="337"/>
      <c r="E544" s="337"/>
      <c r="F544" s="337"/>
      <c r="G544" s="337"/>
      <c r="H544" s="337"/>
      <c r="I544" s="337"/>
      <c r="J544" s="337"/>
      <c r="K544" s="337"/>
      <c r="L544" s="337"/>
      <c r="M544" s="337"/>
      <c r="N544" s="337"/>
      <c r="O544" s="337"/>
      <c r="P544" s="337"/>
      <c r="Q544" s="337"/>
      <c r="R544" s="337"/>
      <c r="S544" s="337"/>
      <c r="T544" s="337"/>
      <c r="U544" s="337"/>
      <c r="V544" s="337"/>
      <c r="W544" s="337"/>
      <c r="X544" s="337"/>
      <c r="Y544" s="338"/>
    </row>
    <row r="545" spans="1:25" s="59" customFormat="1" ht="15.75" customHeight="1">
      <c r="A545" s="339" t="s">
        <v>148</v>
      </c>
      <c r="B545" s="340"/>
      <c r="C545" s="341" t="s">
        <v>177</v>
      </c>
      <c r="D545" s="342"/>
      <c r="E545" s="339" t="s">
        <v>149</v>
      </c>
      <c r="F545" s="343"/>
      <c r="G545" s="340"/>
      <c r="H545" s="341" t="s">
        <v>360</v>
      </c>
      <c r="I545" s="344"/>
      <c r="J545" s="345"/>
      <c r="K545" s="345"/>
      <c r="L545" s="346"/>
      <c r="M545" s="347" t="s">
        <v>150</v>
      </c>
      <c r="N545" s="348"/>
      <c r="O545" s="349"/>
      <c r="P545" s="350" t="s">
        <v>368</v>
      </c>
      <c r="Q545" s="351"/>
      <c r="R545" s="351"/>
      <c r="S545" s="351"/>
      <c r="T545" s="351"/>
      <c r="U545" s="351"/>
      <c r="V545" s="351"/>
      <c r="W545" s="351"/>
      <c r="X545" s="351"/>
      <c r="Y545" s="352"/>
    </row>
    <row r="546" spans="1:25" s="59" customFormat="1" ht="15.75" customHeight="1">
      <c r="A546" s="339" t="s">
        <v>179</v>
      </c>
      <c r="B546" s="340"/>
      <c r="C546" s="377" t="s">
        <v>205</v>
      </c>
      <c r="D546" s="378"/>
      <c r="E546" s="339" t="s">
        <v>151</v>
      </c>
      <c r="F546" s="343"/>
      <c r="G546" s="340"/>
      <c r="H546" s="379" t="s">
        <v>208</v>
      </c>
      <c r="I546" s="380"/>
      <c r="J546" s="339" t="s">
        <v>152</v>
      </c>
      <c r="K546" s="343"/>
      <c r="L546" s="340"/>
      <c r="M546" s="381"/>
      <c r="N546" s="375"/>
      <c r="O546" s="376"/>
      <c r="P546" s="373" t="s">
        <v>153</v>
      </c>
      <c r="Q546" s="374"/>
      <c r="R546" s="375"/>
      <c r="S546" s="375"/>
      <c r="T546" s="375" t="e">
        <f>VLOOKUP(I544,eventslist,4,FALSE)</f>
        <v>#NAME?</v>
      </c>
      <c r="U546" s="375"/>
      <c r="V546" s="375" t="e">
        <f>VLOOKUP(K544,eventslist,4,FALSE)</f>
        <v>#NAME?</v>
      </c>
      <c r="W546" s="375"/>
      <c r="X546" s="375" t="e">
        <f>VLOOKUP(M544,eventslist,4,FALSE)</f>
        <v>#NAME?</v>
      </c>
      <c r="Y546" s="376"/>
    </row>
    <row r="547" spans="1:25" s="59" customFormat="1" ht="31.5" customHeight="1">
      <c r="A547" s="60" t="s">
        <v>154</v>
      </c>
      <c r="B547" s="60" t="s">
        <v>155</v>
      </c>
      <c r="C547" s="61" t="s">
        <v>156</v>
      </c>
      <c r="D547" s="62" t="s">
        <v>157</v>
      </c>
      <c r="E547" s="362" t="s">
        <v>158</v>
      </c>
      <c r="F547" s="357"/>
      <c r="G547" s="357" t="s">
        <v>159</v>
      </c>
      <c r="H547" s="357"/>
      <c r="I547" s="357" t="s">
        <v>160</v>
      </c>
      <c r="J547" s="357"/>
      <c r="K547" s="357" t="s">
        <v>161</v>
      </c>
      <c r="L547" s="357"/>
      <c r="M547" s="355" t="s">
        <v>162</v>
      </c>
      <c r="N547" s="357" t="s">
        <v>163</v>
      </c>
      <c r="O547" s="357"/>
      <c r="P547" s="357" t="s">
        <v>164</v>
      </c>
      <c r="Q547" s="357"/>
      <c r="R547" s="357" t="s">
        <v>165</v>
      </c>
      <c r="S547" s="357"/>
      <c r="T547" s="357" t="s">
        <v>166</v>
      </c>
      <c r="U547" s="358"/>
      <c r="V547" s="359" t="s">
        <v>167</v>
      </c>
      <c r="W547" s="354" t="s">
        <v>168</v>
      </c>
      <c r="X547" s="360"/>
      <c r="Y547" s="361"/>
    </row>
    <row r="548" spans="1:25" s="59" customFormat="1" ht="12.75">
      <c r="A548" s="63"/>
      <c r="B548" s="63"/>
      <c r="C548" s="120" t="s">
        <v>399</v>
      </c>
      <c r="D548" s="370" t="s">
        <v>317</v>
      </c>
      <c r="E548" s="371"/>
      <c r="F548" s="372"/>
      <c r="G548" s="353" t="s">
        <v>169</v>
      </c>
      <c r="H548" s="353"/>
      <c r="I548" s="353" t="s">
        <v>169</v>
      </c>
      <c r="J548" s="353"/>
      <c r="K548" s="353" t="s">
        <v>169</v>
      </c>
      <c r="L548" s="353"/>
      <c r="M548" s="356"/>
      <c r="N548" s="353" t="s">
        <v>169</v>
      </c>
      <c r="O548" s="353"/>
      <c r="P548" s="353" t="s">
        <v>169</v>
      </c>
      <c r="Q548" s="353"/>
      <c r="R548" s="353" t="s">
        <v>169</v>
      </c>
      <c r="S548" s="353"/>
      <c r="T548" s="353" t="s">
        <v>169</v>
      </c>
      <c r="U548" s="354"/>
      <c r="V548" s="355"/>
      <c r="W548" s="60"/>
      <c r="X548" s="60" t="s">
        <v>170</v>
      </c>
      <c r="Y548" s="60" t="s">
        <v>171</v>
      </c>
    </row>
    <row r="549" spans="1:25" s="59" customFormat="1" ht="15.75" customHeight="1">
      <c r="A549" s="63">
        <v>1</v>
      </c>
      <c r="B549" s="119">
        <v>1</v>
      </c>
      <c r="C549" s="122" t="s">
        <v>658</v>
      </c>
      <c r="D549" s="122" t="s">
        <v>20</v>
      </c>
      <c r="E549" s="366"/>
      <c r="F549" s="367"/>
      <c r="G549" s="366"/>
      <c r="H549" s="367"/>
      <c r="I549" s="366"/>
      <c r="J549" s="367"/>
      <c r="K549" s="368"/>
      <c r="L549" s="369"/>
      <c r="M549" s="67"/>
      <c r="N549" s="366"/>
      <c r="O549" s="367"/>
      <c r="P549" s="366"/>
      <c r="Q549" s="367"/>
      <c r="R549" s="366"/>
      <c r="S549" s="367"/>
      <c r="T549" s="368"/>
      <c r="U549" s="369"/>
      <c r="V549" s="67"/>
      <c r="W549" s="68"/>
      <c r="X549" s="68"/>
      <c r="Y549" s="68"/>
    </row>
    <row r="550" spans="1:25" s="59" customFormat="1" ht="15.75" customHeight="1">
      <c r="A550" s="60">
        <v>2</v>
      </c>
      <c r="B550" s="119">
        <v>3</v>
      </c>
      <c r="C550" s="122" t="s">
        <v>659</v>
      </c>
      <c r="D550" s="122" t="s">
        <v>16</v>
      </c>
      <c r="E550" s="366"/>
      <c r="F550" s="367"/>
      <c r="G550" s="366"/>
      <c r="H550" s="367"/>
      <c r="I550" s="366"/>
      <c r="J550" s="367"/>
      <c r="K550" s="368"/>
      <c r="L550" s="369"/>
      <c r="M550" s="67"/>
      <c r="N550" s="366"/>
      <c r="O550" s="367"/>
      <c r="P550" s="366"/>
      <c r="Q550" s="367"/>
      <c r="R550" s="366"/>
      <c r="S550" s="367"/>
      <c r="T550" s="368"/>
      <c r="U550" s="369"/>
      <c r="V550" s="67"/>
      <c r="W550" s="68"/>
      <c r="X550" s="68"/>
      <c r="Y550" s="68"/>
    </row>
    <row r="551" spans="1:25" s="59" customFormat="1" ht="15.75" customHeight="1">
      <c r="A551" s="60">
        <v>3</v>
      </c>
      <c r="B551" s="119">
        <v>4</v>
      </c>
      <c r="C551" s="122" t="s">
        <v>660</v>
      </c>
      <c r="D551" s="122" t="s">
        <v>16</v>
      </c>
      <c r="E551" s="366"/>
      <c r="F551" s="367"/>
      <c r="G551" s="366"/>
      <c r="H551" s="367"/>
      <c r="I551" s="366"/>
      <c r="J551" s="367"/>
      <c r="K551" s="368"/>
      <c r="L551" s="369"/>
      <c r="M551" s="67"/>
      <c r="N551" s="366"/>
      <c r="O551" s="367"/>
      <c r="P551" s="366"/>
      <c r="Q551" s="367"/>
      <c r="R551" s="366"/>
      <c r="S551" s="367"/>
      <c r="T551" s="368"/>
      <c r="U551" s="369"/>
      <c r="V551" s="67"/>
      <c r="W551" s="68"/>
      <c r="X551" s="68"/>
      <c r="Y551" s="68"/>
    </row>
    <row r="552" spans="1:25" s="59" customFormat="1" ht="15.75" customHeight="1">
      <c r="A552" s="60">
        <v>4</v>
      </c>
      <c r="B552" s="119">
        <v>5</v>
      </c>
      <c r="C552" s="122" t="s">
        <v>661</v>
      </c>
      <c r="D552" s="122" t="s">
        <v>18</v>
      </c>
      <c r="E552" s="366"/>
      <c r="F552" s="367"/>
      <c r="G552" s="366"/>
      <c r="H552" s="367"/>
      <c r="I552" s="366"/>
      <c r="J552" s="367"/>
      <c r="K552" s="368"/>
      <c r="L552" s="369"/>
      <c r="M552" s="67"/>
      <c r="N552" s="366"/>
      <c r="O552" s="367"/>
      <c r="P552" s="366"/>
      <c r="Q552" s="367"/>
      <c r="R552" s="366"/>
      <c r="S552" s="367"/>
      <c r="T552" s="368"/>
      <c r="U552" s="369"/>
      <c r="V552" s="67"/>
      <c r="W552" s="68"/>
      <c r="X552" s="68"/>
      <c r="Y552" s="68"/>
    </row>
    <row r="553" spans="1:25" s="59" customFormat="1" ht="15.75" customHeight="1">
      <c r="A553" s="60">
        <v>5</v>
      </c>
      <c r="B553" s="119">
        <v>6</v>
      </c>
      <c r="C553" s="122" t="s">
        <v>662</v>
      </c>
      <c r="D553" s="122" t="s">
        <v>18</v>
      </c>
      <c r="E553" s="366"/>
      <c r="F553" s="367"/>
      <c r="G553" s="366"/>
      <c r="H553" s="367"/>
      <c r="I553" s="366"/>
      <c r="J553" s="367"/>
      <c r="K553" s="368"/>
      <c r="L553" s="369"/>
      <c r="M553" s="67"/>
      <c r="N553" s="366"/>
      <c r="O553" s="367"/>
      <c r="P553" s="366"/>
      <c r="Q553" s="367"/>
      <c r="R553" s="366"/>
      <c r="S553" s="367"/>
      <c r="T553" s="368"/>
      <c r="U553" s="369"/>
      <c r="V553" s="67"/>
      <c r="W553" s="68"/>
      <c r="X553" s="68"/>
      <c r="Y553" s="68"/>
    </row>
    <row r="554" spans="1:25" s="59" customFormat="1" ht="15.75" customHeight="1">
      <c r="A554" s="60">
        <v>6</v>
      </c>
      <c r="B554" s="119">
        <v>7</v>
      </c>
      <c r="C554" s="122" t="s">
        <v>663</v>
      </c>
      <c r="D554" s="122" t="s">
        <v>22</v>
      </c>
      <c r="E554" s="366"/>
      <c r="F554" s="367"/>
      <c r="G554" s="366"/>
      <c r="H554" s="367"/>
      <c r="I554" s="366"/>
      <c r="J554" s="367"/>
      <c r="K554" s="368"/>
      <c r="L554" s="369"/>
      <c r="M554" s="67"/>
      <c r="N554" s="366"/>
      <c r="O554" s="367"/>
      <c r="P554" s="366"/>
      <c r="Q554" s="367"/>
      <c r="R554" s="366"/>
      <c r="S554" s="367"/>
      <c r="T554" s="368"/>
      <c r="U554" s="369"/>
      <c r="V554" s="67"/>
      <c r="W554" s="68"/>
      <c r="X554" s="68"/>
      <c r="Y554" s="68"/>
    </row>
    <row r="555" spans="1:25" s="59" customFormat="1" ht="15.75" customHeight="1">
      <c r="A555" s="60">
        <v>7</v>
      </c>
      <c r="B555" s="119">
        <v>8</v>
      </c>
      <c r="C555" s="122" t="s">
        <v>665</v>
      </c>
      <c r="D555" s="122" t="s">
        <v>22</v>
      </c>
      <c r="E555" s="366"/>
      <c r="F555" s="367"/>
      <c r="G555" s="366"/>
      <c r="H555" s="367"/>
      <c r="I555" s="366"/>
      <c r="J555" s="367"/>
      <c r="K555" s="368"/>
      <c r="L555" s="369"/>
      <c r="M555" s="67"/>
      <c r="N555" s="366"/>
      <c r="O555" s="367"/>
      <c r="P555" s="366"/>
      <c r="Q555" s="367"/>
      <c r="R555" s="366"/>
      <c r="S555" s="367"/>
      <c r="T555" s="368"/>
      <c r="U555" s="369"/>
      <c r="V555" s="67"/>
      <c r="W555" s="68"/>
      <c r="X555" s="68"/>
      <c r="Y555" s="68"/>
    </row>
    <row r="556" spans="1:25" s="59" customFormat="1" ht="15.75" customHeight="1">
      <c r="A556" s="60">
        <v>8</v>
      </c>
      <c r="B556" s="119">
        <v>9</v>
      </c>
      <c r="C556" s="122" t="s">
        <v>666</v>
      </c>
      <c r="D556" s="122" t="s">
        <v>92</v>
      </c>
      <c r="E556" s="366"/>
      <c r="F556" s="367"/>
      <c r="G556" s="366"/>
      <c r="H556" s="367"/>
      <c r="I556" s="366"/>
      <c r="J556" s="367"/>
      <c r="K556" s="368"/>
      <c r="L556" s="369"/>
      <c r="M556" s="67"/>
      <c r="N556" s="366"/>
      <c r="O556" s="367"/>
      <c r="P556" s="366"/>
      <c r="Q556" s="367"/>
      <c r="R556" s="366"/>
      <c r="S556" s="367"/>
      <c r="T556" s="368"/>
      <c r="U556" s="369"/>
      <c r="V556" s="67"/>
      <c r="W556" s="68"/>
      <c r="X556" s="68"/>
      <c r="Y556" s="68"/>
    </row>
    <row r="557" spans="1:25" s="59" customFormat="1" ht="15.75" customHeight="1">
      <c r="A557" s="60">
        <v>9</v>
      </c>
      <c r="B557" s="119">
        <v>10</v>
      </c>
      <c r="C557" s="122" t="s">
        <v>667</v>
      </c>
      <c r="D557" s="122" t="s">
        <v>92</v>
      </c>
      <c r="E557" s="366"/>
      <c r="F557" s="367"/>
      <c r="G557" s="366"/>
      <c r="H557" s="367"/>
      <c r="I557" s="366"/>
      <c r="J557" s="367"/>
      <c r="K557" s="368"/>
      <c r="L557" s="369"/>
      <c r="M557" s="67"/>
      <c r="N557" s="366"/>
      <c r="O557" s="367"/>
      <c r="P557" s="366"/>
      <c r="Q557" s="367"/>
      <c r="R557" s="366"/>
      <c r="S557" s="367"/>
      <c r="T557" s="368"/>
      <c r="U557" s="369"/>
      <c r="V557" s="67"/>
      <c r="W557" s="68"/>
      <c r="X557" s="68"/>
      <c r="Y557" s="68"/>
    </row>
    <row r="558" spans="1:25" s="59" customFormat="1" ht="15.75" customHeight="1">
      <c r="A558" s="60">
        <v>10</v>
      </c>
      <c r="B558" s="119">
        <v>11</v>
      </c>
      <c r="C558" s="122" t="s">
        <v>668</v>
      </c>
      <c r="D558" s="122" t="s">
        <v>19</v>
      </c>
      <c r="E558" s="366"/>
      <c r="F558" s="367"/>
      <c r="G558" s="366"/>
      <c r="H558" s="367"/>
      <c r="I558" s="366"/>
      <c r="J558" s="367"/>
      <c r="K558" s="368"/>
      <c r="L558" s="369"/>
      <c r="M558" s="67"/>
      <c r="N558" s="366"/>
      <c r="O558" s="367"/>
      <c r="P558" s="366"/>
      <c r="Q558" s="367"/>
      <c r="R558" s="366"/>
      <c r="S558" s="367"/>
      <c r="T558" s="368"/>
      <c r="U558" s="369"/>
      <c r="V558" s="67"/>
      <c r="W558" s="68"/>
      <c r="X558" s="68"/>
      <c r="Y558" s="68"/>
    </row>
    <row r="559" spans="1:25" s="59" customFormat="1" ht="15.75" customHeight="1">
      <c r="A559" s="60">
        <v>11</v>
      </c>
      <c r="B559" s="119">
        <v>12</v>
      </c>
      <c r="C559" s="122" t="s">
        <v>669</v>
      </c>
      <c r="D559" s="119" t="s">
        <v>19</v>
      </c>
      <c r="E559" s="366"/>
      <c r="F559" s="367"/>
      <c r="G559" s="366"/>
      <c r="H559" s="367"/>
      <c r="I559" s="366"/>
      <c r="J559" s="367"/>
      <c r="K559" s="368"/>
      <c r="L559" s="369"/>
      <c r="M559" s="67"/>
      <c r="N559" s="366"/>
      <c r="O559" s="367"/>
      <c r="P559" s="366"/>
      <c r="Q559" s="367"/>
      <c r="R559" s="366"/>
      <c r="S559" s="367"/>
      <c r="T559" s="368"/>
      <c r="U559" s="369"/>
      <c r="V559" s="67"/>
      <c r="W559" s="68"/>
      <c r="X559" s="68"/>
      <c r="Y559" s="68"/>
    </row>
    <row r="560" spans="1:25" s="59" customFormat="1" ht="15.75" customHeight="1">
      <c r="A560" s="60">
        <v>12</v>
      </c>
      <c r="B560" s="119" t="s">
        <v>727</v>
      </c>
      <c r="C560" s="122" t="s">
        <v>664</v>
      </c>
      <c r="D560" s="122" t="s">
        <v>22</v>
      </c>
      <c r="E560" s="366"/>
      <c r="F560" s="367"/>
      <c r="G560" s="366"/>
      <c r="H560" s="367"/>
      <c r="I560" s="366"/>
      <c r="J560" s="367"/>
      <c r="K560" s="368"/>
      <c r="L560" s="369"/>
      <c r="M560" s="67"/>
      <c r="N560" s="366"/>
      <c r="O560" s="367"/>
      <c r="P560" s="366"/>
      <c r="Q560" s="367"/>
      <c r="R560" s="366"/>
      <c r="S560" s="367"/>
      <c r="T560" s="368"/>
      <c r="U560" s="369"/>
      <c r="V560" s="67"/>
      <c r="W560" s="68"/>
      <c r="X560" s="68"/>
      <c r="Y560" s="68"/>
    </row>
    <row r="561" spans="1:25" s="59" customFormat="1" ht="15.75" customHeight="1">
      <c r="A561" s="60"/>
      <c r="B561" s="119"/>
      <c r="C561" s="119"/>
      <c r="D561" s="119"/>
      <c r="E561" s="366"/>
      <c r="F561" s="367"/>
      <c r="G561" s="366"/>
      <c r="H561" s="367"/>
      <c r="I561" s="366"/>
      <c r="J561" s="367"/>
      <c r="K561" s="368"/>
      <c r="L561" s="369"/>
      <c r="M561" s="67"/>
      <c r="N561" s="366"/>
      <c r="O561" s="367"/>
      <c r="P561" s="366"/>
      <c r="Q561" s="367"/>
      <c r="R561" s="366"/>
      <c r="S561" s="367"/>
      <c r="T561" s="368"/>
      <c r="U561" s="369"/>
      <c r="V561" s="67"/>
      <c r="W561" s="68"/>
      <c r="X561" s="68"/>
      <c r="Y561" s="68"/>
    </row>
    <row r="562" spans="1:25" s="59" customFormat="1" ht="15.75" customHeight="1">
      <c r="A562" s="60"/>
      <c r="B562" s="119"/>
      <c r="C562" s="119"/>
      <c r="D562" s="119"/>
      <c r="E562" s="366"/>
      <c r="F562" s="367"/>
      <c r="G562" s="366"/>
      <c r="H562" s="367"/>
      <c r="I562" s="366"/>
      <c r="J562" s="367"/>
      <c r="K562" s="368"/>
      <c r="L562" s="369"/>
      <c r="M562" s="67"/>
      <c r="N562" s="366"/>
      <c r="O562" s="367"/>
      <c r="P562" s="366"/>
      <c r="Q562" s="367"/>
      <c r="R562" s="366"/>
      <c r="S562" s="367"/>
      <c r="T562" s="368"/>
      <c r="U562" s="369"/>
      <c r="V562" s="67"/>
      <c r="W562" s="68"/>
      <c r="X562" s="68"/>
      <c r="Y562" s="68"/>
    </row>
    <row r="563" spans="1:25" s="59" customFormat="1" ht="15.75" customHeight="1">
      <c r="A563" s="60"/>
      <c r="B563" s="119"/>
      <c r="C563" s="119"/>
      <c r="D563" s="119"/>
      <c r="E563" s="366"/>
      <c r="F563" s="367"/>
      <c r="G563" s="366"/>
      <c r="H563" s="367"/>
      <c r="I563" s="366"/>
      <c r="J563" s="367"/>
      <c r="K563" s="368"/>
      <c r="L563" s="369"/>
      <c r="M563" s="67"/>
      <c r="N563" s="366"/>
      <c r="O563" s="367"/>
      <c r="P563" s="366"/>
      <c r="Q563" s="367"/>
      <c r="R563" s="366"/>
      <c r="S563" s="367"/>
      <c r="T563" s="368"/>
      <c r="U563" s="369"/>
      <c r="V563" s="67"/>
      <c r="W563" s="68"/>
      <c r="X563" s="68"/>
      <c r="Y563" s="68"/>
    </row>
    <row r="564" spans="1:25" s="59" customFormat="1" ht="15.75" customHeight="1">
      <c r="A564" s="60"/>
      <c r="B564" s="119"/>
      <c r="C564" s="119"/>
      <c r="D564" s="119"/>
      <c r="E564" s="366"/>
      <c r="F564" s="367"/>
      <c r="G564" s="366"/>
      <c r="H564" s="367"/>
      <c r="I564" s="366"/>
      <c r="J564" s="367"/>
      <c r="K564" s="368"/>
      <c r="L564" s="369"/>
      <c r="M564" s="67"/>
      <c r="N564" s="366"/>
      <c r="O564" s="367"/>
      <c r="P564" s="366"/>
      <c r="Q564" s="367"/>
      <c r="R564" s="366"/>
      <c r="S564" s="367"/>
      <c r="T564" s="368"/>
      <c r="U564" s="369"/>
      <c r="V564" s="67"/>
      <c r="W564" s="68"/>
      <c r="X564" s="68"/>
      <c r="Y564" s="68"/>
    </row>
    <row r="565" spans="1:4" s="59" customFormat="1" ht="12.75">
      <c r="A565" s="69"/>
      <c r="C565" s="70"/>
      <c r="D565" s="70"/>
    </row>
    <row r="566" spans="1:25" s="59" customFormat="1" ht="12.75">
      <c r="A566" s="394" t="s">
        <v>172</v>
      </c>
      <c r="B566" s="395"/>
      <c r="C566" s="395"/>
      <c r="D566" s="395"/>
      <c r="E566" s="395"/>
      <c r="F566" s="395"/>
      <c r="G566" s="341" t="s">
        <v>172</v>
      </c>
      <c r="H566" s="396"/>
      <c r="I566" s="396"/>
      <c r="J566" s="396"/>
      <c r="K566" s="396"/>
      <c r="L566" s="396"/>
      <c r="M566" s="396"/>
      <c r="N566" s="396"/>
      <c r="O566" s="396"/>
      <c r="P566" s="396"/>
      <c r="Q566" s="396"/>
      <c r="R566" s="397"/>
      <c r="S566" s="354" t="s">
        <v>173</v>
      </c>
      <c r="T566" s="360"/>
      <c r="U566" s="360"/>
      <c r="V566" s="360"/>
      <c r="W566" s="360"/>
      <c r="X566" s="360"/>
      <c r="Y566" s="361"/>
    </row>
    <row r="567" spans="1:25" s="59" customFormat="1" ht="12.75">
      <c r="A567" s="60" t="s">
        <v>0</v>
      </c>
      <c r="B567" s="60" t="s">
        <v>174</v>
      </c>
      <c r="C567" s="60" t="s">
        <v>156</v>
      </c>
      <c r="D567" s="60" t="s">
        <v>157</v>
      </c>
      <c r="E567" s="353" t="s">
        <v>175</v>
      </c>
      <c r="F567" s="353"/>
      <c r="G567" s="63" t="s">
        <v>0</v>
      </c>
      <c r="H567" s="64" t="s">
        <v>174</v>
      </c>
      <c r="I567" s="354" t="s">
        <v>156</v>
      </c>
      <c r="J567" s="360"/>
      <c r="K567" s="360"/>
      <c r="L567" s="361"/>
      <c r="M567" s="391" t="s">
        <v>157</v>
      </c>
      <c r="N567" s="392"/>
      <c r="O567" s="392"/>
      <c r="P567" s="393"/>
      <c r="Q567" s="354" t="s">
        <v>175</v>
      </c>
      <c r="R567" s="361"/>
      <c r="S567" s="72"/>
      <c r="T567" s="73"/>
      <c r="U567" s="73"/>
      <c r="V567" s="57"/>
      <c r="W567" s="57"/>
      <c r="X567" s="57"/>
      <c r="Y567" s="58"/>
    </row>
    <row r="568" spans="1:25" s="59" customFormat="1" ht="15.75" customHeight="1">
      <c r="A568" s="60">
        <v>1</v>
      </c>
      <c r="B568" s="71"/>
      <c r="C568" s="74"/>
      <c r="D568" s="74"/>
      <c r="E568" s="384"/>
      <c r="F568" s="385"/>
      <c r="G568" s="75">
        <v>9</v>
      </c>
      <c r="H568" s="71"/>
      <c r="I568" s="386"/>
      <c r="J568" s="387"/>
      <c r="K568" s="387"/>
      <c r="L568" s="388"/>
      <c r="M568" s="386"/>
      <c r="N568" s="387"/>
      <c r="O568" s="387"/>
      <c r="P568" s="388"/>
      <c r="Q568" s="384"/>
      <c r="R568" s="385"/>
      <c r="S568" s="76"/>
      <c r="T568" s="77"/>
      <c r="U568" s="77"/>
      <c r="V568" s="78"/>
      <c r="W568" s="78"/>
      <c r="X568" s="78"/>
      <c r="Y568" s="79"/>
    </row>
    <row r="569" spans="1:25" s="59" customFormat="1" ht="15.75" customHeight="1">
      <c r="A569" s="60">
        <v>2</v>
      </c>
      <c r="B569" s="71"/>
      <c r="C569" s="74"/>
      <c r="D569" s="74"/>
      <c r="E569" s="384"/>
      <c r="F569" s="385"/>
      <c r="G569" s="75">
        <v>10</v>
      </c>
      <c r="H569" s="71"/>
      <c r="I569" s="386"/>
      <c r="J569" s="387"/>
      <c r="K569" s="387"/>
      <c r="L569" s="388"/>
      <c r="M569" s="386"/>
      <c r="N569" s="387"/>
      <c r="O569" s="387"/>
      <c r="P569" s="388"/>
      <c r="Q569" s="389"/>
      <c r="R569" s="390"/>
      <c r="S569" s="72"/>
      <c r="T569" s="73"/>
      <c r="U569" s="73"/>
      <c r="V569" s="57"/>
      <c r="W569" s="57"/>
      <c r="X569" s="57"/>
      <c r="Y569" s="58"/>
    </row>
    <row r="570" spans="1:25" s="59" customFormat="1" ht="15.75" customHeight="1">
      <c r="A570" s="60">
        <v>3</v>
      </c>
      <c r="B570" s="71"/>
      <c r="C570" s="74"/>
      <c r="D570" s="74"/>
      <c r="E570" s="384"/>
      <c r="F570" s="385"/>
      <c r="G570" s="75">
        <v>11</v>
      </c>
      <c r="H570" s="71"/>
      <c r="I570" s="386"/>
      <c r="J570" s="387"/>
      <c r="K570" s="387"/>
      <c r="L570" s="388"/>
      <c r="M570" s="386"/>
      <c r="N570" s="387"/>
      <c r="O570" s="387"/>
      <c r="P570" s="388"/>
      <c r="Q570" s="389"/>
      <c r="R570" s="390"/>
      <c r="S570" s="76"/>
      <c r="T570" s="77"/>
      <c r="U570" s="77"/>
      <c r="V570" s="78"/>
      <c r="W570" s="78"/>
      <c r="X570" s="78"/>
      <c r="Y570" s="79"/>
    </row>
    <row r="571" spans="1:25" s="59" customFormat="1" ht="15.75" customHeight="1">
      <c r="A571" s="60">
        <v>4</v>
      </c>
      <c r="B571" s="71"/>
      <c r="C571" s="74"/>
      <c r="D571" s="74"/>
      <c r="E571" s="384"/>
      <c r="F571" s="385"/>
      <c r="G571" s="75">
        <v>12</v>
      </c>
      <c r="H571" s="71"/>
      <c r="I571" s="386"/>
      <c r="J571" s="387"/>
      <c r="K571" s="387"/>
      <c r="L571" s="388"/>
      <c r="M571" s="386"/>
      <c r="N571" s="387"/>
      <c r="O571" s="387"/>
      <c r="P571" s="388"/>
      <c r="Q571" s="389"/>
      <c r="R571" s="390"/>
      <c r="S571" s="72"/>
      <c r="T571" s="73"/>
      <c r="U571" s="73"/>
      <c r="V571" s="57"/>
      <c r="W571" s="57"/>
      <c r="X571" s="57"/>
      <c r="Y571" s="58"/>
    </row>
    <row r="572" spans="1:25" s="59" customFormat="1" ht="15.75" customHeight="1">
      <c r="A572" s="60">
        <v>5</v>
      </c>
      <c r="B572" s="71"/>
      <c r="C572" s="74"/>
      <c r="D572" s="74"/>
      <c r="E572" s="384"/>
      <c r="F572" s="385"/>
      <c r="G572" s="75">
        <v>13</v>
      </c>
      <c r="H572" s="71"/>
      <c r="I572" s="386"/>
      <c r="J572" s="387"/>
      <c r="K572" s="387"/>
      <c r="L572" s="388"/>
      <c r="M572" s="386"/>
      <c r="N572" s="387"/>
      <c r="O572" s="387"/>
      <c r="P572" s="388"/>
      <c r="Q572" s="389"/>
      <c r="R572" s="390"/>
      <c r="S572" s="76"/>
      <c r="T572" s="77"/>
      <c r="U572" s="77"/>
      <c r="V572" s="78"/>
      <c r="W572" s="78"/>
      <c r="X572" s="78"/>
      <c r="Y572" s="79"/>
    </row>
    <row r="573" spans="1:25" s="59" customFormat="1" ht="15.75" customHeight="1">
      <c r="A573" s="60">
        <v>6</v>
      </c>
      <c r="B573" s="71"/>
      <c r="C573" s="74"/>
      <c r="D573" s="74"/>
      <c r="E573" s="384"/>
      <c r="F573" s="385"/>
      <c r="G573" s="75">
        <v>14</v>
      </c>
      <c r="H573" s="71"/>
      <c r="I573" s="386"/>
      <c r="J573" s="387"/>
      <c r="K573" s="387"/>
      <c r="L573" s="388"/>
      <c r="M573" s="386"/>
      <c r="N573" s="387"/>
      <c r="O573" s="387"/>
      <c r="P573" s="388"/>
      <c r="Q573" s="389"/>
      <c r="R573" s="390"/>
      <c r="S573" s="354" t="s">
        <v>176</v>
      </c>
      <c r="T573" s="360"/>
      <c r="U573" s="360"/>
      <c r="V573" s="360"/>
      <c r="W573" s="360"/>
      <c r="X573" s="360"/>
      <c r="Y573" s="361"/>
    </row>
    <row r="574" spans="1:25" s="59" customFormat="1" ht="15.75" customHeight="1">
      <c r="A574" s="60">
        <v>7</v>
      </c>
      <c r="B574" s="71"/>
      <c r="C574" s="74"/>
      <c r="D574" s="74"/>
      <c r="E574" s="384"/>
      <c r="F574" s="385"/>
      <c r="G574" s="75">
        <v>15</v>
      </c>
      <c r="H574" s="71"/>
      <c r="I574" s="386"/>
      <c r="J574" s="387"/>
      <c r="K574" s="387"/>
      <c r="L574" s="388"/>
      <c r="M574" s="386"/>
      <c r="N574" s="387"/>
      <c r="O574" s="387"/>
      <c r="P574" s="388"/>
      <c r="Q574" s="389"/>
      <c r="R574" s="390"/>
      <c r="S574" s="72"/>
      <c r="T574" s="73"/>
      <c r="U574" s="73"/>
      <c r="V574" s="57"/>
      <c r="W574" s="57"/>
      <c r="X574" s="57"/>
      <c r="Y574" s="58"/>
    </row>
    <row r="575" spans="1:25" s="59" customFormat="1" ht="15.75" customHeight="1">
      <c r="A575" s="60">
        <v>8</v>
      </c>
      <c r="B575" s="71"/>
      <c r="C575" s="74"/>
      <c r="D575" s="74"/>
      <c r="E575" s="384"/>
      <c r="F575" s="385"/>
      <c r="G575" s="75">
        <v>16</v>
      </c>
      <c r="H575" s="71"/>
      <c r="I575" s="386"/>
      <c r="J575" s="387"/>
      <c r="K575" s="387"/>
      <c r="L575" s="388"/>
      <c r="M575" s="386"/>
      <c r="N575" s="387"/>
      <c r="O575" s="387"/>
      <c r="P575" s="388"/>
      <c r="Q575" s="389"/>
      <c r="R575" s="390"/>
      <c r="S575" s="76"/>
      <c r="T575" s="77"/>
      <c r="U575" s="77"/>
      <c r="V575" s="78"/>
      <c r="W575" s="78"/>
      <c r="X575" s="78"/>
      <c r="Y575" s="79"/>
    </row>
    <row r="578" spans="1:25" s="59" customFormat="1" ht="20.25">
      <c r="A578" s="336" t="s">
        <v>147</v>
      </c>
      <c r="B578" s="337"/>
      <c r="C578" s="337"/>
      <c r="D578" s="337"/>
      <c r="E578" s="337"/>
      <c r="F578" s="337"/>
      <c r="G578" s="337"/>
      <c r="H578" s="337"/>
      <c r="I578" s="337"/>
      <c r="J578" s="337"/>
      <c r="K578" s="337"/>
      <c r="L578" s="337"/>
      <c r="M578" s="337"/>
      <c r="N578" s="337"/>
      <c r="O578" s="337"/>
      <c r="P578" s="337"/>
      <c r="Q578" s="337"/>
      <c r="R578" s="337"/>
      <c r="S578" s="337"/>
      <c r="T578" s="337"/>
      <c r="U578" s="337"/>
      <c r="V578" s="337"/>
      <c r="W578" s="337"/>
      <c r="X578" s="337"/>
      <c r="Y578" s="338"/>
    </row>
    <row r="579" spans="1:25" s="59" customFormat="1" ht="15.75" customHeight="1">
      <c r="A579" s="339" t="s">
        <v>148</v>
      </c>
      <c r="B579" s="340"/>
      <c r="C579" s="341" t="s">
        <v>177</v>
      </c>
      <c r="D579" s="342"/>
      <c r="E579" s="339" t="s">
        <v>149</v>
      </c>
      <c r="F579" s="343"/>
      <c r="G579" s="340"/>
      <c r="H579" s="341" t="s">
        <v>360</v>
      </c>
      <c r="I579" s="344"/>
      <c r="J579" s="345"/>
      <c r="K579" s="345"/>
      <c r="L579" s="346"/>
      <c r="M579" s="347" t="s">
        <v>150</v>
      </c>
      <c r="N579" s="348"/>
      <c r="O579" s="349"/>
      <c r="P579" s="350" t="s">
        <v>373</v>
      </c>
      <c r="Q579" s="351"/>
      <c r="R579" s="351"/>
      <c r="S579" s="351"/>
      <c r="T579" s="351"/>
      <c r="U579" s="351"/>
      <c r="V579" s="351"/>
      <c r="W579" s="351"/>
      <c r="X579" s="351"/>
      <c r="Y579" s="352"/>
    </row>
    <row r="580" spans="1:25" s="59" customFormat="1" ht="15.75" customHeight="1">
      <c r="A580" s="339" t="s">
        <v>179</v>
      </c>
      <c r="B580" s="340"/>
      <c r="C580" s="377" t="s">
        <v>203</v>
      </c>
      <c r="D580" s="378"/>
      <c r="E580" s="339" t="s">
        <v>151</v>
      </c>
      <c r="F580" s="343"/>
      <c r="G580" s="340"/>
      <c r="H580" s="379" t="s">
        <v>337</v>
      </c>
      <c r="I580" s="380"/>
      <c r="J580" s="339" t="s">
        <v>152</v>
      </c>
      <c r="K580" s="343"/>
      <c r="L580" s="340"/>
      <c r="M580" s="381"/>
      <c r="N580" s="375"/>
      <c r="O580" s="376"/>
      <c r="P580" s="373" t="s">
        <v>153</v>
      </c>
      <c r="Q580" s="374"/>
      <c r="R580" s="375"/>
      <c r="S580" s="375"/>
      <c r="T580" s="375" t="e">
        <f>VLOOKUP(I578,eventslist,4,FALSE)</f>
        <v>#NAME?</v>
      </c>
      <c r="U580" s="375"/>
      <c r="V580" s="375" t="e">
        <f>VLOOKUP(K578,eventslist,4,FALSE)</f>
        <v>#NAME?</v>
      </c>
      <c r="W580" s="375"/>
      <c r="X580" s="375" t="e">
        <f>VLOOKUP(M578,eventslist,4,FALSE)</f>
        <v>#NAME?</v>
      </c>
      <c r="Y580" s="376"/>
    </row>
    <row r="581" spans="1:25" s="59" customFormat="1" ht="31.5" customHeight="1">
      <c r="A581" s="60" t="s">
        <v>154</v>
      </c>
      <c r="B581" s="60" t="s">
        <v>155</v>
      </c>
      <c r="C581" s="61" t="s">
        <v>156</v>
      </c>
      <c r="D581" s="62" t="s">
        <v>157</v>
      </c>
      <c r="E581" s="362" t="s">
        <v>158</v>
      </c>
      <c r="F581" s="357"/>
      <c r="G581" s="357" t="s">
        <v>159</v>
      </c>
      <c r="H581" s="357"/>
      <c r="I581" s="357" t="s">
        <v>160</v>
      </c>
      <c r="J581" s="357"/>
      <c r="K581" s="357" t="s">
        <v>161</v>
      </c>
      <c r="L581" s="357"/>
      <c r="M581" s="355" t="s">
        <v>162</v>
      </c>
      <c r="N581" s="357" t="s">
        <v>163</v>
      </c>
      <c r="O581" s="357"/>
      <c r="P581" s="357" t="s">
        <v>164</v>
      </c>
      <c r="Q581" s="357"/>
      <c r="R581" s="357" t="s">
        <v>165</v>
      </c>
      <c r="S581" s="357"/>
      <c r="T581" s="357" t="s">
        <v>166</v>
      </c>
      <c r="U581" s="358"/>
      <c r="V581" s="359" t="s">
        <v>167</v>
      </c>
      <c r="W581" s="354" t="s">
        <v>168</v>
      </c>
      <c r="X581" s="360"/>
      <c r="Y581" s="361"/>
    </row>
    <row r="582" spans="1:25" s="59" customFormat="1" ht="12.75">
      <c r="A582" s="63"/>
      <c r="B582" s="63"/>
      <c r="C582" s="120" t="s">
        <v>400</v>
      </c>
      <c r="D582" s="370" t="s">
        <v>423</v>
      </c>
      <c r="E582" s="371"/>
      <c r="F582" s="372"/>
      <c r="G582" s="353" t="s">
        <v>169</v>
      </c>
      <c r="H582" s="353"/>
      <c r="I582" s="353" t="s">
        <v>169</v>
      </c>
      <c r="J582" s="353"/>
      <c r="K582" s="353" t="s">
        <v>169</v>
      </c>
      <c r="L582" s="353"/>
      <c r="M582" s="356"/>
      <c r="N582" s="353" t="s">
        <v>169</v>
      </c>
      <c r="O582" s="353"/>
      <c r="P582" s="353" t="s">
        <v>169</v>
      </c>
      <c r="Q582" s="353"/>
      <c r="R582" s="353" t="s">
        <v>169</v>
      </c>
      <c r="S582" s="353"/>
      <c r="T582" s="353" t="s">
        <v>169</v>
      </c>
      <c r="U582" s="354"/>
      <c r="V582" s="355"/>
      <c r="W582" s="60"/>
      <c r="X582" s="60" t="s">
        <v>170</v>
      </c>
      <c r="Y582" s="60" t="s">
        <v>171</v>
      </c>
    </row>
    <row r="583" spans="1:25" s="59" customFormat="1" ht="15.75" customHeight="1">
      <c r="A583" s="63">
        <v>1</v>
      </c>
      <c r="B583" s="119">
        <v>1</v>
      </c>
      <c r="C583" s="122" t="s">
        <v>670</v>
      </c>
      <c r="D583" s="122" t="s">
        <v>20</v>
      </c>
      <c r="E583" s="366"/>
      <c r="F583" s="367"/>
      <c r="G583" s="366"/>
      <c r="H583" s="367"/>
      <c r="I583" s="366"/>
      <c r="J583" s="367"/>
      <c r="K583" s="368"/>
      <c r="L583" s="369"/>
      <c r="M583" s="67"/>
      <c r="N583" s="366"/>
      <c r="O583" s="367"/>
      <c r="P583" s="366"/>
      <c r="Q583" s="367"/>
      <c r="R583" s="366"/>
      <c r="S583" s="367"/>
      <c r="T583" s="368"/>
      <c r="U583" s="369"/>
      <c r="V583" s="67"/>
      <c r="W583" s="68"/>
      <c r="X583" s="68"/>
      <c r="Y583" s="68"/>
    </row>
    <row r="584" spans="1:25" s="59" customFormat="1" ht="15.75" customHeight="1">
      <c r="A584" s="60">
        <v>2</v>
      </c>
      <c r="B584" s="119">
        <v>2</v>
      </c>
      <c r="C584" s="122" t="s">
        <v>671</v>
      </c>
      <c r="D584" s="122" t="s">
        <v>20</v>
      </c>
      <c r="E584" s="366"/>
      <c r="F584" s="367"/>
      <c r="G584" s="366"/>
      <c r="H584" s="367"/>
      <c r="I584" s="366"/>
      <c r="J584" s="367"/>
      <c r="K584" s="368"/>
      <c r="L584" s="369"/>
      <c r="M584" s="67"/>
      <c r="N584" s="366"/>
      <c r="O584" s="367"/>
      <c r="P584" s="366"/>
      <c r="Q584" s="367"/>
      <c r="R584" s="366"/>
      <c r="S584" s="367"/>
      <c r="T584" s="368"/>
      <c r="U584" s="369"/>
      <c r="V584" s="67"/>
      <c r="W584" s="68"/>
      <c r="X584" s="68"/>
      <c r="Y584" s="68"/>
    </row>
    <row r="585" spans="1:25" s="59" customFormat="1" ht="15.75" customHeight="1">
      <c r="A585" s="60">
        <v>3</v>
      </c>
      <c r="B585" s="119">
        <v>3</v>
      </c>
      <c r="C585" s="122" t="s">
        <v>672</v>
      </c>
      <c r="D585" s="122" t="s">
        <v>16</v>
      </c>
      <c r="E585" s="366"/>
      <c r="F585" s="367"/>
      <c r="G585" s="366"/>
      <c r="H585" s="367"/>
      <c r="I585" s="366"/>
      <c r="J585" s="367"/>
      <c r="K585" s="368"/>
      <c r="L585" s="369"/>
      <c r="M585" s="67"/>
      <c r="N585" s="366"/>
      <c r="O585" s="367"/>
      <c r="P585" s="366"/>
      <c r="Q585" s="367"/>
      <c r="R585" s="366"/>
      <c r="S585" s="367"/>
      <c r="T585" s="368"/>
      <c r="U585" s="369"/>
      <c r="V585" s="67"/>
      <c r="W585" s="68"/>
      <c r="X585" s="68"/>
      <c r="Y585" s="68"/>
    </row>
    <row r="586" spans="1:25" s="59" customFormat="1" ht="15.75" customHeight="1">
      <c r="A586" s="60">
        <v>4</v>
      </c>
      <c r="B586" s="119">
        <v>4</v>
      </c>
      <c r="C586" s="122" t="s">
        <v>547</v>
      </c>
      <c r="D586" s="122" t="s">
        <v>16</v>
      </c>
      <c r="E586" s="366"/>
      <c r="F586" s="367"/>
      <c r="G586" s="366"/>
      <c r="H586" s="367"/>
      <c r="I586" s="366"/>
      <c r="J586" s="367"/>
      <c r="K586" s="368"/>
      <c r="L586" s="369"/>
      <c r="M586" s="67"/>
      <c r="N586" s="366"/>
      <c r="O586" s="367"/>
      <c r="P586" s="366"/>
      <c r="Q586" s="367"/>
      <c r="R586" s="366"/>
      <c r="S586" s="367"/>
      <c r="T586" s="368"/>
      <c r="U586" s="369"/>
      <c r="V586" s="67"/>
      <c r="W586" s="68"/>
      <c r="X586" s="68"/>
      <c r="Y586" s="68"/>
    </row>
    <row r="587" spans="1:25" s="59" customFormat="1" ht="15.75" customHeight="1">
      <c r="A587" s="60">
        <v>5</v>
      </c>
      <c r="B587" s="119">
        <v>6</v>
      </c>
      <c r="C587" s="122" t="s">
        <v>674</v>
      </c>
      <c r="D587" s="122" t="s">
        <v>18</v>
      </c>
      <c r="E587" s="366"/>
      <c r="F587" s="367"/>
      <c r="G587" s="366"/>
      <c r="H587" s="367"/>
      <c r="I587" s="366"/>
      <c r="J587" s="367"/>
      <c r="K587" s="368"/>
      <c r="L587" s="369"/>
      <c r="M587" s="67"/>
      <c r="N587" s="366"/>
      <c r="O587" s="367"/>
      <c r="P587" s="366"/>
      <c r="Q587" s="367"/>
      <c r="R587" s="366"/>
      <c r="S587" s="367"/>
      <c r="T587" s="368"/>
      <c r="U587" s="369"/>
      <c r="V587" s="67"/>
      <c r="W587" s="68"/>
      <c r="X587" s="68"/>
      <c r="Y587" s="68"/>
    </row>
    <row r="588" spans="1:25" s="59" customFormat="1" ht="15.75" customHeight="1">
      <c r="A588" s="60">
        <v>6</v>
      </c>
      <c r="B588" s="119">
        <v>5</v>
      </c>
      <c r="C588" s="122" t="s">
        <v>673</v>
      </c>
      <c r="D588" s="122" t="s">
        <v>18</v>
      </c>
      <c r="E588" s="366"/>
      <c r="F588" s="367"/>
      <c r="G588" s="366"/>
      <c r="H588" s="367"/>
      <c r="I588" s="366"/>
      <c r="J588" s="367"/>
      <c r="K588" s="368"/>
      <c r="L588" s="369"/>
      <c r="M588" s="67"/>
      <c r="N588" s="366"/>
      <c r="O588" s="367"/>
      <c r="P588" s="366"/>
      <c r="Q588" s="367"/>
      <c r="R588" s="366"/>
      <c r="S588" s="367"/>
      <c r="T588" s="368"/>
      <c r="U588" s="369"/>
      <c r="V588" s="67"/>
      <c r="W588" s="68"/>
      <c r="X588" s="68"/>
      <c r="Y588" s="68"/>
    </row>
    <row r="589" spans="1:25" s="59" customFormat="1" ht="15.75" customHeight="1">
      <c r="A589" s="60">
        <v>7</v>
      </c>
      <c r="B589" s="119">
        <v>9</v>
      </c>
      <c r="C589" s="122" t="s">
        <v>675</v>
      </c>
      <c r="D589" s="122" t="s">
        <v>92</v>
      </c>
      <c r="E589" s="366"/>
      <c r="F589" s="367"/>
      <c r="G589" s="366"/>
      <c r="H589" s="367"/>
      <c r="I589" s="366"/>
      <c r="J589" s="367"/>
      <c r="K589" s="368"/>
      <c r="L589" s="369"/>
      <c r="M589" s="67"/>
      <c r="N589" s="366"/>
      <c r="O589" s="367"/>
      <c r="P589" s="366"/>
      <c r="Q589" s="367"/>
      <c r="R589" s="366"/>
      <c r="S589" s="367"/>
      <c r="T589" s="368"/>
      <c r="U589" s="369"/>
      <c r="V589" s="67"/>
      <c r="W589" s="68"/>
      <c r="X589" s="68"/>
      <c r="Y589" s="68"/>
    </row>
    <row r="590" spans="1:25" s="59" customFormat="1" ht="15.75" customHeight="1">
      <c r="A590" s="60">
        <v>8</v>
      </c>
      <c r="B590" s="119">
        <v>10</v>
      </c>
      <c r="C590" s="122" t="s">
        <v>676</v>
      </c>
      <c r="D590" s="122" t="s">
        <v>92</v>
      </c>
      <c r="E590" s="366"/>
      <c r="F590" s="367"/>
      <c r="G590" s="366"/>
      <c r="H590" s="367"/>
      <c r="I590" s="366"/>
      <c r="J590" s="367"/>
      <c r="K590" s="368"/>
      <c r="L590" s="369"/>
      <c r="M590" s="67"/>
      <c r="N590" s="366"/>
      <c r="O590" s="367"/>
      <c r="P590" s="366"/>
      <c r="Q590" s="367"/>
      <c r="R590" s="366"/>
      <c r="S590" s="367"/>
      <c r="T590" s="368"/>
      <c r="U590" s="369"/>
      <c r="V590" s="67"/>
      <c r="W590" s="68"/>
      <c r="X590" s="68"/>
      <c r="Y590" s="68"/>
    </row>
    <row r="591" spans="1:25" s="59" customFormat="1" ht="15.75" customHeight="1">
      <c r="A591" s="60">
        <v>9</v>
      </c>
      <c r="B591" s="119">
        <v>11</v>
      </c>
      <c r="C591" s="122" t="s">
        <v>677</v>
      </c>
      <c r="D591" s="122" t="s">
        <v>19</v>
      </c>
      <c r="E591" s="366"/>
      <c r="F591" s="367"/>
      <c r="G591" s="366"/>
      <c r="H591" s="367"/>
      <c r="I591" s="366"/>
      <c r="J591" s="367"/>
      <c r="K591" s="368"/>
      <c r="L591" s="369"/>
      <c r="M591" s="67"/>
      <c r="N591" s="366"/>
      <c r="O591" s="367"/>
      <c r="P591" s="366"/>
      <c r="Q591" s="367"/>
      <c r="R591" s="366"/>
      <c r="S591" s="367"/>
      <c r="T591" s="368"/>
      <c r="U591" s="369"/>
      <c r="V591" s="67"/>
      <c r="W591" s="68"/>
      <c r="X591" s="68"/>
      <c r="Y591" s="68"/>
    </row>
    <row r="592" spans="1:25" s="59" customFormat="1" ht="15.75" customHeight="1">
      <c r="A592" s="60">
        <v>10</v>
      </c>
      <c r="B592" s="119">
        <v>12</v>
      </c>
      <c r="C592" s="122" t="s">
        <v>678</v>
      </c>
      <c r="D592" s="122" t="s">
        <v>19</v>
      </c>
      <c r="E592" s="366"/>
      <c r="F592" s="367"/>
      <c r="G592" s="366"/>
      <c r="H592" s="367"/>
      <c r="I592" s="366"/>
      <c r="J592" s="367"/>
      <c r="K592" s="368"/>
      <c r="L592" s="369"/>
      <c r="M592" s="67"/>
      <c r="N592" s="366"/>
      <c r="O592" s="367"/>
      <c r="P592" s="366"/>
      <c r="Q592" s="367"/>
      <c r="R592" s="366"/>
      <c r="S592" s="367"/>
      <c r="T592" s="368"/>
      <c r="U592" s="369"/>
      <c r="V592" s="67"/>
      <c r="W592" s="68"/>
      <c r="X592" s="68"/>
      <c r="Y592" s="68"/>
    </row>
    <row r="593" spans="1:25" s="59" customFormat="1" ht="15.75" customHeight="1">
      <c r="A593" s="60"/>
      <c r="B593" s="119"/>
      <c r="C593" s="122"/>
      <c r="D593" s="122"/>
      <c r="E593" s="366"/>
      <c r="F593" s="367"/>
      <c r="G593" s="366"/>
      <c r="H593" s="367"/>
      <c r="I593" s="366"/>
      <c r="J593" s="367"/>
      <c r="K593" s="368"/>
      <c r="L593" s="369"/>
      <c r="M593" s="67"/>
      <c r="N593" s="366"/>
      <c r="O593" s="367"/>
      <c r="P593" s="366"/>
      <c r="Q593" s="367"/>
      <c r="R593" s="366"/>
      <c r="S593" s="367"/>
      <c r="T593" s="368"/>
      <c r="U593" s="369"/>
      <c r="V593" s="67"/>
      <c r="W593" s="68"/>
      <c r="X593" s="68"/>
      <c r="Y593" s="68"/>
    </row>
    <row r="594" spans="1:25" s="59" customFormat="1" ht="15.75" customHeight="1">
      <c r="A594" s="60"/>
      <c r="B594" s="119"/>
      <c r="C594" s="122"/>
      <c r="D594" s="122"/>
      <c r="E594" s="366"/>
      <c r="F594" s="367"/>
      <c r="G594" s="366"/>
      <c r="H594" s="367"/>
      <c r="I594" s="366"/>
      <c r="J594" s="367"/>
      <c r="K594" s="368"/>
      <c r="L594" s="369"/>
      <c r="M594" s="67"/>
      <c r="N594" s="366"/>
      <c r="O594" s="367"/>
      <c r="P594" s="366"/>
      <c r="Q594" s="367"/>
      <c r="R594" s="366"/>
      <c r="S594" s="367"/>
      <c r="T594" s="368"/>
      <c r="U594" s="369"/>
      <c r="V594" s="67"/>
      <c r="W594" s="68"/>
      <c r="X594" s="68"/>
      <c r="Y594" s="68"/>
    </row>
    <row r="595" spans="1:25" s="59" customFormat="1" ht="15.75" customHeight="1">
      <c r="A595" s="60"/>
      <c r="B595" s="119"/>
      <c r="C595" s="119"/>
      <c r="D595" s="119"/>
      <c r="E595" s="366"/>
      <c r="F595" s="367"/>
      <c r="G595" s="366"/>
      <c r="H595" s="367"/>
      <c r="I595" s="366"/>
      <c r="J595" s="367"/>
      <c r="K595" s="368"/>
      <c r="L595" s="369"/>
      <c r="M595" s="67"/>
      <c r="N595" s="366"/>
      <c r="O595" s="367"/>
      <c r="P595" s="366"/>
      <c r="Q595" s="367"/>
      <c r="R595" s="366"/>
      <c r="S595" s="367"/>
      <c r="T595" s="368"/>
      <c r="U595" s="369"/>
      <c r="V595" s="67"/>
      <c r="W595" s="68"/>
      <c r="X595" s="68"/>
      <c r="Y595" s="68"/>
    </row>
    <row r="596" spans="1:25" s="59" customFormat="1" ht="15.75" customHeight="1">
      <c r="A596" s="60"/>
      <c r="B596" s="119"/>
      <c r="C596" s="119"/>
      <c r="D596" s="119"/>
      <c r="E596" s="366"/>
      <c r="F596" s="367"/>
      <c r="G596" s="366"/>
      <c r="H596" s="367"/>
      <c r="I596" s="366"/>
      <c r="J596" s="367"/>
      <c r="K596" s="368"/>
      <c r="L596" s="369"/>
      <c r="M596" s="67"/>
      <c r="N596" s="366"/>
      <c r="O596" s="367"/>
      <c r="P596" s="366"/>
      <c r="Q596" s="367"/>
      <c r="R596" s="366"/>
      <c r="S596" s="367"/>
      <c r="T596" s="368"/>
      <c r="U596" s="369"/>
      <c r="V596" s="67"/>
      <c r="W596" s="68"/>
      <c r="X596" s="68"/>
      <c r="Y596" s="68"/>
    </row>
    <row r="597" spans="1:25" s="59" customFormat="1" ht="15.75" customHeight="1">
      <c r="A597" s="60"/>
      <c r="B597" s="119"/>
      <c r="C597" s="119"/>
      <c r="D597" s="119"/>
      <c r="E597" s="366"/>
      <c r="F597" s="367"/>
      <c r="G597" s="366"/>
      <c r="H597" s="367"/>
      <c r="I597" s="366"/>
      <c r="J597" s="367"/>
      <c r="K597" s="368"/>
      <c r="L597" s="369"/>
      <c r="M597" s="67"/>
      <c r="N597" s="366"/>
      <c r="O597" s="367"/>
      <c r="P597" s="366"/>
      <c r="Q597" s="367"/>
      <c r="R597" s="366"/>
      <c r="S597" s="367"/>
      <c r="T597" s="368"/>
      <c r="U597" s="369"/>
      <c r="V597" s="67"/>
      <c r="W597" s="68"/>
      <c r="X597" s="68"/>
      <c r="Y597" s="68"/>
    </row>
    <row r="598" spans="1:25" s="59" customFormat="1" ht="15.75" customHeight="1">
      <c r="A598" s="60"/>
      <c r="B598" s="119"/>
      <c r="C598" s="119"/>
      <c r="D598" s="119"/>
      <c r="E598" s="366"/>
      <c r="F598" s="367"/>
      <c r="G598" s="366"/>
      <c r="H598" s="367"/>
      <c r="I598" s="366"/>
      <c r="J598" s="367"/>
      <c r="K598" s="368"/>
      <c r="L598" s="369"/>
      <c r="M598" s="67"/>
      <c r="N598" s="366"/>
      <c r="O598" s="367"/>
      <c r="P598" s="366"/>
      <c r="Q598" s="367"/>
      <c r="R598" s="366"/>
      <c r="S598" s="367"/>
      <c r="T598" s="368"/>
      <c r="U598" s="369"/>
      <c r="V598" s="67"/>
      <c r="W598" s="68"/>
      <c r="X598" s="68"/>
      <c r="Y598" s="68"/>
    </row>
    <row r="599" spans="1:4" s="59" customFormat="1" ht="12.75">
      <c r="A599" s="69"/>
      <c r="C599" s="70"/>
      <c r="D599" s="70"/>
    </row>
    <row r="600" spans="1:25" s="59" customFormat="1" ht="12.75">
      <c r="A600" s="394" t="s">
        <v>172</v>
      </c>
      <c r="B600" s="395"/>
      <c r="C600" s="395"/>
      <c r="D600" s="395"/>
      <c r="E600" s="395"/>
      <c r="F600" s="395"/>
      <c r="G600" s="341" t="s">
        <v>172</v>
      </c>
      <c r="H600" s="396"/>
      <c r="I600" s="396"/>
      <c r="J600" s="396"/>
      <c r="K600" s="396"/>
      <c r="L600" s="396"/>
      <c r="M600" s="396"/>
      <c r="N600" s="396"/>
      <c r="O600" s="396"/>
      <c r="P600" s="396"/>
      <c r="Q600" s="396"/>
      <c r="R600" s="397"/>
      <c r="S600" s="354" t="s">
        <v>173</v>
      </c>
      <c r="T600" s="360"/>
      <c r="U600" s="360"/>
      <c r="V600" s="360"/>
      <c r="W600" s="360"/>
      <c r="X600" s="360"/>
      <c r="Y600" s="361"/>
    </row>
    <row r="601" spans="1:25" s="59" customFormat="1" ht="12.75">
      <c r="A601" s="60" t="s">
        <v>0</v>
      </c>
      <c r="B601" s="60" t="s">
        <v>174</v>
      </c>
      <c r="C601" s="60" t="s">
        <v>156</v>
      </c>
      <c r="D601" s="60" t="s">
        <v>157</v>
      </c>
      <c r="E601" s="353" t="s">
        <v>175</v>
      </c>
      <c r="F601" s="353"/>
      <c r="G601" s="63" t="s">
        <v>0</v>
      </c>
      <c r="H601" s="64" t="s">
        <v>174</v>
      </c>
      <c r="I601" s="354" t="s">
        <v>156</v>
      </c>
      <c r="J601" s="360"/>
      <c r="K601" s="360"/>
      <c r="L601" s="361"/>
      <c r="M601" s="391" t="s">
        <v>157</v>
      </c>
      <c r="N601" s="392"/>
      <c r="O601" s="392"/>
      <c r="P601" s="393"/>
      <c r="Q601" s="354" t="s">
        <v>175</v>
      </c>
      <c r="R601" s="361"/>
      <c r="S601" s="72"/>
      <c r="T601" s="73"/>
      <c r="U601" s="73"/>
      <c r="V601" s="57"/>
      <c r="W601" s="57"/>
      <c r="X601" s="57"/>
      <c r="Y601" s="58"/>
    </row>
    <row r="602" spans="1:25" s="59" customFormat="1" ht="15.75" customHeight="1">
      <c r="A602" s="60">
        <v>1</v>
      </c>
      <c r="B602" s="71"/>
      <c r="C602" s="74"/>
      <c r="D602" s="74"/>
      <c r="E602" s="384"/>
      <c r="F602" s="385"/>
      <c r="G602" s="75">
        <v>9</v>
      </c>
      <c r="H602" s="71"/>
      <c r="I602" s="386"/>
      <c r="J602" s="387"/>
      <c r="K602" s="387"/>
      <c r="L602" s="388"/>
      <c r="M602" s="386"/>
      <c r="N602" s="387"/>
      <c r="O602" s="387"/>
      <c r="P602" s="388"/>
      <c r="Q602" s="384"/>
      <c r="R602" s="385"/>
      <c r="S602" s="76"/>
      <c r="T602" s="77"/>
      <c r="U602" s="77"/>
      <c r="V602" s="78"/>
      <c r="W602" s="78"/>
      <c r="X602" s="78"/>
      <c r="Y602" s="79"/>
    </row>
    <row r="603" spans="1:25" s="59" customFormat="1" ht="15.75" customHeight="1">
      <c r="A603" s="60">
        <v>2</v>
      </c>
      <c r="B603" s="71"/>
      <c r="C603" s="74"/>
      <c r="D603" s="74"/>
      <c r="E603" s="384"/>
      <c r="F603" s="385"/>
      <c r="G603" s="75">
        <v>10</v>
      </c>
      <c r="H603" s="71"/>
      <c r="I603" s="386"/>
      <c r="J603" s="387"/>
      <c r="K603" s="387"/>
      <c r="L603" s="388"/>
      <c r="M603" s="386"/>
      <c r="N603" s="387"/>
      <c r="O603" s="387"/>
      <c r="P603" s="388"/>
      <c r="Q603" s="389"/>
      <c r="R603" s="390"/>
      <c r="S603" s="72"/>
      <c r="T603" s="73"/>
      <c r="U603" s="73"/>
      <c r="V603" s="57"/>
      <c r="W603" s="57"/>
      <c r="X603" s="57"/>
      <c r="Y603" s="58"/>
    </row>
    <row r="604" spans="1:25" s="59" customFormat="1" ht="15.75" customHeight="1">
      <c r="A604" s="60">
        <v>3</v>
      </c>
      <c r="B604" s="71"/>
      <c r="C604" s="74"/>
      <c r="D604" s="74"/>
      <c r="E604" s="384"/>
      <c r="F604" s="385"/>
      <c r="G604" s="75">
        <v>11</v>
      </c>
      <c r="H604" s="71"/>
      <c r="I604" s="386"/>
      <c r="J604" s="387"/>
      <c r="K604" s="387"/>
      <c r="L604" s="388"/>
      <c r="M604" s="386"/>
      <c r="N604" s="387"/>
      <c r="O604" s="387"/>
      <c r="P604" s="388"/>
      <c r="Q604" s="389"/>
      <c r="R604" s="390"/>
      <c r="S604" s="76"/>
      <c r="T604" s="77"/>
      <c r="U604" s="77"/>
      <c r="V604" s="78"/>
      <c r="W604" s="78"/>
      <c r="X604" s="78"/>
      <c r="Y604" s="79"/>
    </row>
    <row r="605" spans="1:25" s="59" customFormat="1" ht="15.75" customHeight="1">
      <c r="A605" s="60">
        <v>4</v>
      </c>
      <c r="B605" s="71"/>
      <c r="C605" s="74"/>
      <c r="D605" s="74"/>
      <c r="E605" s="384"/>
      <c r="F605" s="385"/>
      <c r="G605" s="75">
        <v>12</v>
      </c>
      <c r="H605" s="71"/>
      <c r="I605" s="386"/>
      <c r="J605" s="387"/>
      <c r="K605" s="387"/>
      <c r="L605" s="388"/>
      <c r="M605" s="386"/>
      <c r="N605" s="387"/>
      <c r="O605" s="387"/>
      <c r="P605" s="388"/>
      <c r="Q605" s="389"/>
      <c r="R605" s="390"/>
      <c r="S605" s="72"/>
      <c r="T605" s="73"/>
      <c r="U605" s="73"/>
      <c r="V605" s="57"/>
      <c r="W605" s="57"/>
      <c r="X605" s="57"/>
      <c r="Y605" s="58"/>
    </row>
    <row r="606" spans="1:25" s="59" customFormat="1" ht="15.75" customHeight="1">
      <c r="A606" s="60">
        <v>5</v>
      </c>
      <c r="B606" s="71"/>
      <c r="C606" s="74"/>
      <c r="D606" s="74"/>
      <c r="E606" s="384"/>
      <c r="F606" s="385"/>
      <c r="G606" s="75">
        <v>13</v>
      </c>
      <c r="H606" s="71"/>
      <c r="I606" s="386"/>
      <c r="J606" s="387"/>
      <c r="K606" s="387"/>
      <c r="L606" s="388"/>
      <c r="M606" s="386"/>
      <c r="N606" s="387"/>
      <c r="O606" s="387"/>
      <c r="P606" s="388"/>
      <c r="Q606" s="389"/>
      <c r="R606" s="390"/>
      <c r="S606" s="76"/>
      <c r="T606" s="77"/>
      <c r="U606" s="77"/>
      <c r="V606" s="78"/>
      <c r="W606" s="78"/>
      <c r="X606" s="78"/>
      <c r="Y606" s="79"/>
    </row>
    <row r="607" spans="1:25" s="59" customFormat="1" ht="15.75" customHeight="1">
      <c r="A607" s="60">
        <v>6</v>
      </c>
      <c r="B607" s="71"/>
      <c r="C607" s="74"/>
      <c r="D607" s="74"/>
      <c r="E607" s="384"/>
      <c r="F607" s="385"/>
      <c r="G607" s="75">
        <v>14</v>
      </c>
      <c r="H607" s="71"/>
      <c r="I607" s="386"/>
      <c r="J607" s="387"/>
      <c r="K607" s="387"/>
      <c r="L607" s="388"/>
      <c r="M607" s="386"/>
      <c r="N607" s="387"/>
      <c r="O607" s="387"/>
      <c r="P607" s="388"/>
      <c r="Q607" s="389"/>
      <c r="R607" s="390"/>
      <c r="S607" s="354" t="s">
        <v>176</v>
      </c>
      <c r="T607" s="360"/>
      <c r="U607" s="360"/>
      <c r="V607" s="360"/>
      <c r="W607" s="360"/>
      <c r="X607" s="360"/>
      <c r="Y607" s="361"/>
    </row>
    <row r="608" spans="1:25" s="59" customFormat="1" ht="15.75" customHeight="1">
      <c r="A608" s="60">
        <v>7</v>
      </c>
      <c r="B608" s="71"/>
      <c r="C608" s="74"/>
      <c r="D608" s="74"/>
      <c r="E608" s="384"/>
      <c r="F608" s="385"/>
      <c r="G608" s="75">
        <v>15</v>
      </c>
      <c r="H608" s="71"/>
      <c r="I608" s="386"/>
      <c r="J608" s="387"/>
      <c r="K608" s="387"/>
      <c r="L608" s="388"/>
      <c r="M608" s="386"/>
      <c r="N608" s="387"/>
      <c r="O608" s="387"/>
      <c r="P608" s="388"/>
      <c r="Q608" s="389"/>
      <c r="R608" s="390"/>
      <c r="S608" s="72"/>
      <c r="T608" s="73"/>
      <c r="U608" s="73"/>
      <c r="V608" s="57"/>
      <c r="W608" s="57"/>
      <c r="X608" s="57"/>
      <c r="Y608" s="58"/>
    </row>
    <row r="609" spans="1:25" s="59" customFormat="1" ht="15.75" customHeight="1">
      <c r="A609" s="60">
        <v>8</v>
      </c>
      <c r="B609" s="71"/>
      <c r="C609" s="74"/>
      <c r="D609" s="74"/>
      <c r="E609" s="384"/>
      <c r="F609" s="385"/>
      <c r="G609" s="75">
        <v>16</v>
      </c>
      <c r="H609" s="71"/>
      <c r="I609" s="386"/>
      <c r="J609" s="387"/>
      <c r="K609" s="387"/>
      <c r="L609" s="388"/>
      <c r="M609" s="386"/>
      <c r="N609" s="387"/>
      <c r="O609" s="387"/>
      <c r="P609" s="388"/>
      <c r="Q609" s="389"/>
      <c r="R609" s="390"/>
      <c r="S609" s="76"/>
      <c r="T609" s="77"/>
      <c r="U609" s="77"/>
      <c r="V609" s="78"/>
      <c r="W609" s="78"/>
      <c r="X609" s="78"/>
      <c r="Y609" s="79"/>
    </row>
    <row r="612" spans="1:25" s="59" customFormat="1" ht="20.25">
      <c r="A612" s="336" t="s">
        <v>147</v>
      </c>
      <c r="B612" s="337"/>
      <c r="C612" s="337"/>
      <c r="D612" s="337"/>
      <c r="E612" s="337"/>
      <c r="F612" s="337"/>
      <c r="G612" s="337"/>
      <c r="H612" s="337"/>
      <c r="I612" s="337"/>
      <c r="J612" s="337"/>
      <c r="K612" s="337"/>
      <c r="L612" s="337"/>
      <c r="M612" s="337"/>
      <c r="N612" s="337"/>
      <c r="O612" s="337"/>
      <c r="P612" s="337"/>
      <c r="Q612" s="337"/>
      <c r="R612" s="337"/>
      <c r="S612" s="337"/>
      <c r="T612" s="337"/>
      <c r="U612" s="337"/>
      <c r="V612" s="337"/>
      <c r="W612" s="337"/>
      <c r="X612" s="337"/>
      <c r="Y612" s="338"/>
    </row>
    <row r="613" spans="1:25" s="59" customFormat="1" ht="15.75" customHeight="1">
      <c r="A613" s="339" t="s">
        <v>148</v>
      </c>
      <c r="B613" s="340"/>
      <c r="C613" s="341" t="s">
        <v>177</v>
      </c>
      <c r="D613" s="342"/>
      <c r="E613" s="339" t="s">
        <v>149</v>
      </c>
      <c r="F613" s="343"/>
      <c r="G613" s="340"/>
      <c r="H613" s="341" t="s">
        <v>360</v>
      </c>
      <c r="I613" s="344"/>
      <c r="J613" s="345"/>
      <c r="K613" s="345"/>
      <c r="L613" s="346"/>
      <c r="M613" s="347" t="s">
        <v>150</v>
      </c>
      <c r="N613" s="348"/>
      <c r="O613" s="349"/>
      <c r="P613" s="350" t="s">
        <v>368</v>
      </c>
      <c r="Q613" s="351"/>
      <c r="R613" s="351"/>
      <c r="S613" s="351"/>
      <c r="T613" s="351"/>
      <c r="U613" s="351"/>
      <c r="V613" s="351"/>
      <c r="W613" s="351"/>
      <c r="X613" s="351"/>
      <c r="Y613" s="352"/>
    </row>
    <row r="614" spans="1:25" s="59" customFormat="1" ht="15.75" customHeight="1">
      <c r="A614" s="339" t="s">
        <v>179</v>
      </c>
      <c r="B614" s="340"/>
      <c r="C614" s="377" t="s">
        <v>205</v>
      </c>
      <c r="D614" s="378"/>
      <c r="E614" s="339" t="s">
        <v>151</v>
      </c>
      <c r="F614" s="343"/>
      <c r="G614" s="340"/>
      <c r="H614" s="379" t="s">
        <v>338</v>
      </c>
      <c r="I614" s="380"/>
      <c r="J614" s="339" t="s">
        <v>152</v>
      </c>
      <c r="K614" s="343"/>
      <c r="L614" s="340"/>
      <c r="M614" s="381"/>
      <c r="N614" s="375"/>
      <c r="O614" s="376"/>
      <c r="P614" s="373" t="s">
        <v>153</v>
      </c>
      <c r="Q614" s="374"/>
      <c r="R614" s="375"/>
      <c r="S614" s="375"/>
      <c r="T614" s="375" t="e">
        <f>VLOOKUP(I612,eventslist,4,FALSE)</f>
        <v>#NAME?</v>
      </c>
      <c r="U614" s="375"/>
      <c r="V614" s="375" t="e">
        <f>VLOOKUP(K612,eventslist,4,FALSE)</f>
        <v>#NAME?</v>
      </c>
      <c r="W614" s="375"/>
      <c r="X614" s="375" t="e">
        <f>VLOOKUP(M612,eventslist,4,FALSE)</f>
        <v>#NAME?</v>
      </c>
      <c r="Y614" s="376"/>
    </row>
    <row r="615" spans="1:25" s="59" customFormat="1" ht="31.5" customHeight="1">
      <c r="A615" s="60" t="s">
        <v>154</v>
      </c>
      <c r="B615" s="60" t="s">
        <v>155</v>
      </c>
      <c r="C615" s="61" t="s">
        <v>156</v>
      </c>
      <c r="D615" s="62" t="s">
        <v>157</v>
      </c>
      <c r="E615" s="362" t="s">
        <v>158</v>
      </c>
      <c r="F615" s="357"/>
      <c r="G615" s="357" t="s">
        <v>159</v>
      </c>
      <c r="H615" s="357"/>
      <c r="I615" s="357" t="s">
        <v>160</v>
      </c>
      <c r="J615" s="357"/>
      <c r="K615" s="357" t="s">
        <v>161</v>
      </c>
      <c r="L615" s="357"/>
      <c r="M615" s="355" t="s">
        <v>162</v>
      </c>
      <c r="N615" s="357" t="s">
        <v>163</v>
      </c>
      <c r="O615" s="357"/>
      <c r="P615" s="357" t="s">
        <v>164</v>
      </c>
      <c r="Q615" s="357"/>
      <c r="R615" s="357" t="s">
        <v>165</v>
      </c>
      <c r="S615" s="357"/>
      <c r="T615" s="357" t="s">
        <v>166</v>
      </c>
      <c r="U615" s="358"/>
      <c r="V615" s="359" t="s">
        <v>167</v>
      </c>
      <c r="W615" s="354" t="s">
        <v>168</v>
      </c>
      <c r="X615" s="360"/>
      <c r="Y615" s="361"/>
    </row>
    <row r="616" spans="1:25" s="59" customFormat="1" ht="12.75">
      <c r="A616" s="63"/>
      <c r="B616" s="63"/>
      <c r="C616" s="120" t="s">
        <v>401</v>
      </c>
      <c r="D616" s="370" t="s">
        <v>424</v>
      </c>
      <c r="E616" s="371"/>
      <c r="F616" s="372"/>
      <c r="G616" s="353" t="s">
        <v>169</v>
      </c>
      <c r="H616" s="353"/>
      <c r="I616" s="353" t="s">
        <v>169</v>
      </c>
      <c r="J616" s="353"/>
      <c r="K616" s="353" t="s">
        <v>169</v>
      </c>
      <c r="L616" s="353"/>
      <c r="M616" s="356"/>
      <c r="N616" s="353" t="s">
        <v>169</v>
      </c>
      <c r="O616" s="353"/>
      <c r="P616" s="353" t="s">
        <v>169</v>
      </c>
      <c r="Q616" s="353"/>
      <c r="R616" s="353" t="s">
        <v>169</v>
      </c>
      <c r="S616" s="353"/>
      <c r="T616" s="353" t="s">
        <v>169</v>
      </c>
      <c r="U616" s="354"/>
      <c r="V616" s="355"/>
      <c r="W616" s="60"/>
      <c r="X616" s="60" t="s">
        <v>170</v>
      </c>
      <c r="Y616" s="60" t="s">
        <v>171</v>
      </c>
    </row>
    <row r="617" spans="1:25" s="59" customFormat="1" ht="15.75" customHeight="1">
      <c r="A617" s="63">
        <v>1</v>
      </c>
      <c r="B617" s="119">
        <v>1</v>
      </c>
      <c r="C617" s="122" t="s">
        <v>688</v>
      </c>
      <c r="D617" s="122" t="s">
        <v>20</v>
      </c>
      <c r="E617" s="366"/>
      <c r="F617" s="367"/>
      <c r="G617" s="366"/>
      <c r="H617" s="367"/>
      <c r="I617" s="366"/>
      <c r="J617" s="367"/>
      <c r="K617" s="368"/>
      <c r="L617" s="369"/>
      <c r="M617" s="67"/>
      <c r="N617" s="366"/>
      <c r="O617" s="367"/>
      <c r="P617" s="366"/>
      <c r="Q617" s="367"/>
      <c r="R617" s="366"/>
      <c r="S617" s="367"/>
      <c r="T617" s="368"/>
      <c r="U617" s="369"/>
      <c r="V617" s="67"/>
      <c r="W617" s="68"/>
      <c r="X617" s="68"/>
      <c r="Y617" s="68"/>
    </row>
    <row r="618" spans="1:25" s="59" customFormat="1" ht="15.75" customHeight="1">
      <c r="A618" s="60">
        <v>2</v>
      </c>
      <c r="B618" s="119">
        <v>2</v>
      </c>
      <c r="C618" s="122" t="s">
        <v>689</v>
      </c>
      <c r="D618" s="122" t="s">
        <v>20</v>
      </c>
      <c r="E618" s="366"/>
      <c r="F618" s="367"/>
      <c r="G618" s="366"/>
      <c r="H618" s="367"/>
      <c r="I618" s="366"/>
      <c r="J618" s="367"/>
      <c r="K618" s="368"/>
      <c r="L618" s="369"/>
      <c r="M618" s="67"/>
      <c r="N618" s="366"/>
      <c r="O618" s="367"/>
      <c r="P618" s="366"/>
      <c r="Q618" s="367"/>
      <c r="R618" s="366"/>
      <c r="S618" s="367"/>
      <c r="T618" s="368"/>
      <c r="U618" s="369"/>
      <c r="V618" s="67"/>
      <c r="W618" s="68"/>
      <c r="X618" s="68"/>
      <c r="Y618" s="68"/>
    </row>
    <row r="619" spans="1:25" s="59" customFormat="1" ht="15.75" customHeight="1">
      <c r="A619" s="60">
        <v>3</v>
      </c>
      <c r="B619" s="119">
        <v>3</v>
      </c>
      <c r="C619" s="122" t="s">
        <v>690</v>
      </c>
      <c r="D619" s="122" t="s">
        <v>16</v>
      </c>
      <c r="E619" s="366"/>
      <c r="F619" s="367"/>
      <c r="G619" s="366"/>
      <c r="H619" s="367"/>
      <c r="I619" s="366"/>
      <c r="J619" s="367"/>
      <c r="K619" s="368"/>
      <c r="L619" s="369"/>
      <c r="M619" s="67"/>
      <c r="N619" s="366"/>
      <c r="O619" s="367"/>
      <c r="P619" s="366"/>
      <c r="Q619" s="367"/>
      <c r="R619" s="366"/>
      <c r="S619" s="367"/>
      <c r="T619" s="368"/>
      <c r="U619" s="369"/>
      <c r="V619" s="67"/>
      <c r="W619" s="68"/>
      <c r="X619" s="68"/>
      <c r="Y619" s="68"/>
    </row>
    <row r="620" spans="1:25" s="59" customFormat="1" ht="15.75" customHeight="1">
      <c r="A620" s="60">
        <v>4</v>
      </c>
      <c r="B620" s="119">
        <v>4</v>
      </c>
      <c r="C620" s="122" t="s">
        <v>691</v>
      </c>
      <c r="D620" s="122" t="s">
        <v>16</v>
      </c>
      <c r="E620" s="366"/>
      <c r="F620" s="367"/>
      <c r="G620" s="366"/>
      <c r="H620" s="367"/>
      <c r="I620" s="366"/>
      <c r="J620" s="367"/>
      <c r="K620" s="368"/>
      <c r="L620" s="369"/>
      <c r="M620" s="67"/>
      <c r="N620" s="366"/>
      <c r="O620" s="367"/>
      <c r="P620" s="366"/>
      <c r="Q620" s="367"/>
      <c r="R620" s="366"/>
      <c r="S620" s="367"/>
      <c r="T620" s="368"/>
      <c r="U620" s="369"/>
      <c r="V620" s="67"/>
      <c r="W620" s="68"/>
      <c r="X620" s="68"/>
      <c r="Y620" s="68"/>
    </row>
    <row r="621" spans="1:25" s="59" customFormat="1" ht="15.75" customHeight="1">
      <c r="A621" s="60">
        <v>5</v>
      </c>
      <c r="B621" s="119">
        <v>9</v>
      </c>
      <c r="C621" s="122" t="s">
        <v>692</v>
      </c>
      <c r="D621" s="122" t="s">
        <v>92</v>
      </c>
      <c r="E621" s="366"/>
      <c r="F621" s="367"/>
      <c r="G621" s="366"/>
      <c r="H621" s="367"/>
      <c r="I621" s="366"/>
      <c r="J621" s="367"/>
      <c r="K621" s="368"/>
      <c r="L621" s="369"/>
      <c r="M621" s="67"/>
      <c r="N621" s="366"/>
      <c r="O621" s="367"/>
      <c r="P621" s="366"/>
      <c r="Q621" s="367"/>
      <c r="R621" s="366"/>
      <c r="S621" s="367"/>
      <c r="T621" s="368"/>
      <c r="U621" s="369"/>
      <c r="V621" s="67"/>
      <c r="W621" s="68"/>
      <c r="X621" s="68"/>
      <c r="Y621" s="68"/>
    </row>
    <row r="622" spans="1:25" s="59" customFormat="1" ht="15.75" customHeight="1">
      <c r="A622" s="60">
        <v>6</v>
      </c>
      <c r="B622" s="119">
        <v>10</v>
      </c>
      <c r="C622" s="122" t="s">
        <v>693</v>
      </c>
      <c r="D622" s="122" t="s">
        <v>92</v>
      </c>
      <c r="E622" s="366"/>
      <c r="F622" s="367"/>
      <c r="G622" s="366"/>
      <c r="H622" s="367"/>
      <c r="I622" s="366"/>
      <c r="J622" s="367"/>
      <c r="K622" s="368"/>
      <c r="L622" s="369"/>
      <c r="M622" s="67"/>
      <c r="N622" s="366"/>
      <c r="O622" s="367"/>
      <c r="P622" s="366"/>
      <c r="Q622" s="367"/>
      <c r="R622" s="366"/>
      <c r="S622" s="367"/>
      <c r="T622" s="368"/>
      <c r="U622" s="369"/>
      <c r="V622" s="67"/>
      <c r="W622" s="68"/>
      <c r="X622" s="68"/>
      <c r="Y622" s="68"/>
    </row>
    <row r="623" spans="1:25" s="59" customFormat="1" ht="15.75" customHeight="1">
      <c r="A623" s="60">
        <v>7</v>
      </c>
      <c r="B623" s="119">
        <v>11</v>
      </c>
      <c r="C623" s="122" t="s">
        <v>694</v>
      </c>
      <c r="D623" s="122" t="s">
        <v>19</v>
      </c>
      <c r="E623" s="366"/>
      <c r="F623" s="367"/>
      <c r="G623" s="366"/>
      <c r="H623" s="367"/>
      <c r="I623" s="366"/>
      <c r="J623" s="367"/>
      <c r="K623" s="368"/>
      <c r="L623" s="369"/>
      <c r="M623" s="67"/>
      <c r="N623" s="366"/>
      <c r="O623" s="367"/>
      <c r="P623" s="366"/>
      <c r="Q623" s="367"/>
      <c r="R623" s="366"/>
      <c r="S623" s="367"/>
      <c r="T623" s="368"/>
      <c r="U623" s="369"/>
      <c r="V623" s="67"/>
      <c r="W623" s="68"/>
      <c r="X623" s="68"/>
      <c r="Y623" s="68"/>
    </row>
    <row r="624" spans="1:25" s="59" customFormat="1" ht="15.75" customHeight="1">
      <c r="A624" s="60">
        <v>8</v>
      </c>
      <c r="B624" s="122">
        <v>12</v>
      </c>
      <c r="C624" s="122" t="s">
        <v>695</v>
      </c>
      <c r="D624" s="122" t="s">
        <v>19</v>
      </c>
      <c r="E624" s="366"/>
      <c r="F624" s="367"/>
      <c r="G624" s="366"/>
      <c r="H624" s="367"/>
      <c r="I624" s="366"/>
      <c r="J624" s="367"/>
      <c r="K624" s="368"/>
      <c r="L624" s="369"/>
      <c r="M624" s="67"/>
      <c r="N624" s="366"/>
      <c r="O624" s="367"/>
      <c r="P624" s="366"/>
      <c r="Q624" s="367"/>
      <c r="R624" s="366"/>
      <c r="S624" s="367"/>
      <c r="T624" s="368"/>
      <c r="U624" s="369"/>
      <c r="V624" s="67"/>
      <c r="W624" s="68"/>
      <c r="X624" s="68"/>
      <c r="Y624" s="68"/>
    </row>
    <row r="625" spans="1:25" s="59" customFormat="1" ht="15.75" customHeight="1">
      <c r="A625" s="60"/>
      <c r="B625" s="119"/>
      <c r="C625" s="122"/>
      <c r="D625" s="122"/>
      <c r="E625" s="366"/>
      <c r="F625" s="367"/>
      <c r="G625" s="366"/>
      <c r="H625" s="367"/>
      <c r="I625" s="366"/>
      <c r="J625" s="367"/>
      <c r="K625" s="368"/>
      <c r="L625" s="369"/>
      <c r="M625" s="67"/>
      <c r="N625" s="366"/>
      <c r="O625" s="367"/>
      <c r="P625" s="366"/>
      <c r="Q625" s="367"/>
      <c r="R625" s="366"/>
      <c r="S625" s="367"/>
      <c r="T625" s="368"/>
      <c r="U625" s="369"/>
      <c r="V625" s="67"/>
      <c r="W625" s="68"/>
      <c r="X625" s="68"/>
      <c r="Y625" s="68"/>
    </row>
    <row r="626" spans="1:25" s="59" customFormat="1" ht="15.75" customHeight="1">
      <c r="A626" s="60"/>
      <c r="B626" s="119"/>
      <c r="C626" s="121"/>
      <c r="D626" s="195"/>
      <c r="E626" s="402"/>
      <c r="F626" s="403"/>
      <c r="G626" s="366"/>
      <c r="H626" s="367"/>
      <c r="I626" s="366"/>
      <c r="J626" s="367"/>
      <c r="K626" s="368"/>
      <c r="L626" s="369"/>
      <c r="M626" s="67"/>
      <c r="N626" s="366"/>
      <c r="O626" s="367"/>
      <c r="P626" s="366"/>
      <c r="Q626" s="367"/>
      <c r="R626" s="366"/>
      <c r="S626" s="367"/>
      <c r="T626" s="368"/>
      <c r="U626" s="369"/>
      <c r="V626" s="67"/>
      <c r="W626" s="68"/>
      <c r="X626" s="68"/>
      <c r="Y626" s="68"/>
    </row>
    <row r="627" spans="1:25" s="59" customFormat="1" ht="15.75" customHeight="1">
      <c r="A627" s="60"/>
      <c r="B627" s="119"/>
      <c r="C627" s="120" t="s">
        <v>402</v>
      </c>
      <c r="D627" s="370" t="s">
        <v>425</v>
      </c>
      <c r="E627" s="371"/>
      <c r="F627" s="372"/>
      <c r="G627" s="366"/>
      <c r="H627" s="367"/>
      <c r="I627" s="366"/>
      <c r="J627" s="367"/>
      <c r="K627" s="368"/>
      <c r="L627" s="369"/>
      <c r="M627" s="67"/>
      <c r="N627" s="366"/>
      <c r="O627" s="367"/>
      <c r="P627" s="366"/>
      <c r="Q627" s="367"/>
      <c r="R627" s="366"/>
      <c r="S627" s="367"/>
      <c r="T627" s="368"/>
      <c r="U627" s="369"/>
      <c r="V627" s="67"/>
      <c r="W627" s="68"/>
      <c r="X627" s="68"/>
      <c r="Y627" s="68"/>
    </row>
    <row r="628" spans="1:25" s="59" customFormat="1" ht="15.75" customHeight="1">
      <c r="A628" s="60">
        <v>9</v>
      </c>
      <c r="B628" s="119">
        <v>1</v>
      </c>
      <c r="C628" s="122" t="s">
        <v>696</v>
      </c>
      <c r="D628" s="122" t="s">
        <v>20</v>
      </c>
      <c r="E628" s="366"/>
      <c r="F628" s="367"/>
      <c r="G628" s="366"/>
      <c r="H628" s="367"/>
      <c r="I628" s="366"/>
      <c r="J628" s="367"/>
      <c r="K628" s="368"/>
      <c r="L628" s="369"/>
      <c r="M628" s="67"/>
      <c r="N628" s="366"/>
      <c r="O628" s="367"/>
      <c r="P628" s="366"/>
      <c r="Q628" s="367"/>
      <c r="R628" s="366"/>
      <c r="S628" s="367"/>
      <c r="T628" s="368"/>
      <c r="U628" s="369"/>
      <c r="V628" s="67"/>
      <c r="W628" s="68"/>
      <c r="X628" s="68"/>
      <c r="Y628" s="68"/>
    </row>
    <row r="629" spans="1:25" s="59" customFormat="1" ht="15.75" customHeight="1">
      <c r="A629" s="60">
        <v>10</v>
      </c>
      <c r="B629" s="119">
        <v>9</v>
      </c>
      <c r="C629" s="122" t="s">
        <v>697</v>
      </c>
      <c r="D629" s="122" t="s">
        <v>92</v>
      </c>
      <c r="E629" s="366"/>
      <c r="F629" s="367"/>
      <c r="G629" s="366"/>
      <c r="H629" s="367"/>
      <c r="I629" s="366"/>
      <c r="J629" s="367"/>
      <c r="K629" s="368"/>
      <c r="L629" s="369"/>
      <c r="M629" s="67"/>
      <c r="N629" s="366"/>
      <c r="O629" s="367"/>
      <c r="P629" s="366"/>
      <c r="Q629" s="367"/>
      <c r="R629" s="366"/>
      <c r="S629" s="367"/>
      <c r="T629" s="368"/>
      <c r="U629" s="369"/>
      <c r="V629" s="67"/>
      <c r="W629" s="68"/>
      <c r="X629" s="68"/>
      <c r="Y629" s="68"/>
    </row>
    <row r="630" spans="1:25" s="59" customFormat="1" ht="15.75" customHeight="1">
      <c r="A630" s="60">
        <v>11</v>
      </c>
      <c r="B630" s="119">
        <v>10</v>
      </c>
      <c r="C630" s="122" t="s">
        <v>698</v>
      </c>
      <c r="D630" s="119" t="s">
        <v>92</v>
      </c>
      <c r="E630" s="366"/>
      <c r="F630" s="367"/>
      <c r="G630" s="366"/>
      <c r="H630" s="367"/>
      <c r="I630" s="366"/>
      <c r="J630" s="367"/>
      <c r="K630" s="368"/>
      <c r="L630" s="369"/>
      <c r="M630" s="67"/>
      <c r="N630" s="366"/>
      <c r="O630" s="367"/>
      <c r="P630" s="366"/>
      <c r="Q630" s="367"/>
      <c r="R630" s="366"/>
      <c r="S630" s="367"/>
      <c r="T630" s="368"/>
      <c r="U630" s="369"/>
      <c r="V630" s="67"/>
      <c r="W630" s="68"/>
      <c r="X630" s="68"/>
      <c r="Y630" s="68"/>
    </row>
    <row r="631" spans="1:25" s="59" customFormat="1" ht="15.75" customHeight="1">
      <c r="A631" s="60"/>
      <c r="B631" s="119"/>
      <c r="C631" s="119"/>
      <c r="D631" s="119"/>
      <c r="E631" s="366"/>
      <c r="F631" s="367"/>
      <c r="G631" s="366"/>
      <c r="H631" s="367"/>
      <c r="I631" s="366"/>
      <c r="J631" s="367"/>
      <c r="K631" s="368"/>
      <c r="L631" s="369"/>
      <c r="M631" s="67"/>
      <c r="N631" s="366"/>
      <c r="O631" s="367"/>
      <c r="P631" s="366"/>
      <c r="Q631" s="367"/>
      <c r="R631" s="366"/>
      <c r="S631" s="367"/>
      <c r="T631" s="368"/>
      <c r="U631" s="369"/>
      <c r="V631" s="67"/>
      <c r="W631" s="68"/>
      <c r="X631" s="68"/>
      <c r="Y631" s="68"/>
    </row>
    <row r="632" spans="1:25" s="59" customFormat="1" ht="15.75" customHeight="1">
      <c r="A632" s="60"/>
      <c r="B632" s="119"/>
      <c r="C632" s="119"/>
      <c r="D632" s="119"/>
      <c r="E632" s="366"/>
      <c r="F632" s="367"/>
      <c r="G632" s="366"/>
      <c r="H632" s="367"/>
      <c r="I632" s="366"/>
      <c r="J632" s="367"/>
      <c r="K632" s="368"/>
      <c r="L632" s="369"/>
      <c r="M632" s="67"/>
      <c r="N632" s="366"/>
      <c r="O632" s="367"/>
      <c r="P632" s="366"/>
      <c r="Q632" s="367"/>
      <c r="R632" s="366"/>
      <c r="S632" s="367"/>
      <c r="T632" s="368"/>
      <c r="U632" s="369"/>
      <c r="V632" s="67"/>
      <c r="W632" s="68"/>
      <c r="X632" s="68"/>
      <c r="Y632" s="68"/>
    </row>
    <row r="633" spans="1:4" s="59" customFormat="1" ht="12.75">
      <c r="A633" s="69"/>
      <c r="C633" s="70"/>
      <c r="D633" s="70"/>
    </row>
    <row r="634" spans="1:25" s="59" customFormat="1" ht="12.75">
      <c r="A634" s="394" t="s">
        <v>172</v>
      </c>
      <c r="B634" s="395"/>
      <c r="C634" s="395"/>
      <c r="D634" s="395"/>
      <c r="E634" s="395"/>
      <c r="F634" s="395"/>
      <c r="G634" s="341" t="s">
        <v>172</v>
      </c>
      <c r="H634" s="396"/>
      <c r="I634" s="396"/>
      <c r="J634" s="396"/>
      <c r="K634" s="396"/>
      <c r="L634" s="396"/>
      <c r="M634" s="396"/>
      <c r="N634" s="396"/>
      <c r="O634" s="396"/>
      <c r="P634" s="396"/>
      <c r="Q634" s="396"/>
      <c r="R634" s="397"/>
      <c r="S634" s="354" t="s">
        <v>173</v>
      </c>
      <c r="T634" s="360"/>
      <c r="U634" s="360"/>
      <c r="V634" s="360"/>
      <c r="W634" s="360"/>
      <c r="X634" s="360"/>
      <c r="Y634" s="361"/>
    </row>
    <row r="635" spans="1:25" s="59" customFormat="1" ht="12.75">
      <c r="A635" s="60" t="s">
        <v>0</v>
      </c>
      <c r="B635" s="60" t="s">
        <v>174</v>
      </c>
      <c r="C635" s="60" t="s">
        <v>156</v>
      </c>
      <c r="D635" s="60" t="s">
        <v>157</v>
      </c>
      <c r="E635" s="353" t="s">
        <v>175</v>
      </c>
      <c r="F635" s="353"/>
      <c r="G635" s="63" t="s">
        <v>0</v>
      </c>
      <c r="H635" s="64" t="s">
        <v>174</v>
      </c>
      <c r="I635" s="354" t="s">
        <v>156</v>
      </c>
      <c r="J635" s="360"/>
      <c r="K635" s="360"/>
      <c r="L635" s="361"/>
      <c r="M635" s="391" t="s">
        <v>157</v>
      </c>
      <c r="N635" s="392"/>
      <c r="O635" s="392"/>
      <c r="P635" s="393"/>
      <c r="Q635" s="354" t="s">
        <v>175</v>
      </c>
      <c r="R635" s="361"/>
      <c r="S635" s="72"/>
      <c r="T635" s="73"/>
      <c r="U635" s="73"/>
      <c r="V635" s="57"/>
      <c r="W635" s="57"/>
      <c r="X635" s="57"/>
      <c r="Y635" s="58"/>
    </row>
    <row r="636" spans="1:25" s="59" customFormat="1" ht="15.75" customHeight="1">
      <c r="A636" s="60">
        <v>1</v>
      </c>
      <c r="B636" s="71"/>
      <c r="C636" s="74"/>
      <c r="D636" s="74"/>
      <c r="E636" s="384"/>
      <c r="F636" s="385"/>
      <c r="G636" s="75">
        <v>9</v>
      </c>
      <c r="H636" s="71"/>
      <c r="I636" s="386"/>
      <c r="J636" s="387"/>
      <c r="K636" s="387"/>
      <c r="L636" s="388"/>
      <c r="M636" s="386"/>
      <c r="N636" s="387"/>
      <c r="O636" s="387"/>
      <c r="P636" s="388"/>
      <c r="Q636" s="384"/>
      <c r="R636" s="385"/>
      <c r="S636" s="76"/>
      <c r="T636" s="77"/>
      <c r="U636" s="77"/>
      <c r="V636" s="78"/>
      <c r="W636" s="78"/>
      <c r="X636" s="78"/>
      <c r="Y636" s="79"/>
    </row>
    <row r="637" spans="1:25" s="59" customFormat="1" ht="15.75" customHeight="1">
      <c r="A637" s="60">
        <v>2</v>
      </c>
      <c r="B637" s="71"/>
      <c r="C637" s="74"/>
      <c r="D637" s="74"/>
      <c r="E637" s="384"/>
      <c r="F637" s="385"/>
      <c r="G637" s="75">
        <v>10</v>
      </c>
      <c r="H637" s="71"/>
      <c r="I637" s="386"/>
      <c r="J637" s="387"/>
      <c r="K637" s="387"/>
      <c r="L637" s="388"/>
      <c r="M637" s="386"/>
      <c r="N637" s="387"/>
      <c r="O637" s="387"/>
      <c r="P637" s="388"/>
      <c r="Q637" s="389"/>
      <c r="R637" s="390"/>
      <c r="S637" s="72"/>
      <c r="T637" s="73"/>
      <c r="U637" s="73"/>
      <c r="V637" s="57"/>
      <c r="W637" s="57"/>
      <c r="X637" s="57"/>
      <c r="Y637" s="58"/>
    </row>
    <row r="638" spans="1:25" s="59" customFormat="1" ht="15.75" customHeight="1">
      <c r="A638" s="60">
        <v>3</v>
      </c>
      <c r="B638" s="71"/>
      <c r="C638" s="74"/>
      <c r="D638" s="74"/>
      <c r="E638" s="384"/>
      <c r="F638" s="385"/>
      <c r="G638" s="75">
        <v>11</v>
      </c>
      <c r="H638" s="71"/>
      <c r="I638" s="386"/>
      <c r="J638" s="387"/>
      <c r="K638" s="387"/>
      <c r="L638" s="388"/>
      <c r="M638" s="386"/>
      <c r="N638" s="387"/>
      <c r="O638" s="387"/>
      <c r="P638" s="388"/>
      <c r="Q638" s="389"/>
      <c r="R638" s="390"/>
      <c r="S638" s="76"/>
      <c r="T638" s="77"/>
      <c r="U638" s="77"/>
      <c r="V638" s="78"/>
      <c r="W638" s="78"/>
      <c r="X638" s="78"/>
      <c r="Y638" s="79"/>
    </row>
    <row r="639" spans="1:25" s="59" customFormat="1" ht="15.75" customHeight="1">
      <c r="A639" s="60">
        <v>4</v>
      </c>
      <c r="B639" s="71"/>
      <c r="C639" s="74"/>
      <c r="D639" s="74"/>
      <c r="E639" s="384"/>
      <c r="F639" s="385"/>
      <c r="G639" s="75">
        <v>12</v>
      </c>
      <c r="H639" s="71"/>
      <c r="I639" s="386"/>
      <c r="J639" s="387"/>
      <c r="K639" s="387"/>
      <c r="L639" s="388"/>
      <c r="M639" s="386"/>
      <c r="N639" s="387"/>
      <c r="O639" s="387"/>
      <c r="P639" s="388"/>
      <c r="Q639" s="389"/>
      <c r="R639" s="390"/>
      <c r="S639" s="72"/>
      <c r="T639" s="73"/>
      <c r="U639" s="73"/>
      <c r="V639" s="57"/>
      <c r="W639" s="57"/>
      <c r="X639" s="57"/>
      <c r="Y639" s="58"/>
    </row>
    <row r="640" spans="1:25" s="59" customFormat="1" ht="15.75" customHeight="1">
      <c r="A640" s="60">
        <v>5</v>
      </c>
      <c r="B640" s="71"/>
      <c r="C640" s="74"/>
      <c r="D640" s="74"/>
      <c r="E640" s="384"/>
      <c r="F640" s="385"/>
      <c r="G640" s="75">
        <v>13</v>
      </c>
      <c r="H640" s="71"/>
      <c r="I640" s="386"/>
      <c r="J640" s="387"/>
      <c r="K640" s="387"/>
      <c r="L640" s="388"/>
      <c r="M640" s="386"/>
      <c r="N640" s="387"/>
      <c r="O640" s="387"/>
      <c r="P640" s="388"/>
      <c r="Q640" s="389"/>
      <c r="R640" s="390"/>
      <c r="S640" s="76"/>
      <c r="T640" s="77"/>
      <c r="U640" s="77"/>
      <c r="V640" s="78"/>
      <c r="W640" s="78"/>
      <c r="X640" s="78"/>
      <c r="Y640" s="79"/>
    </row>
    <row r="641" spans="1:25" s="59" customFormat="1" ht="15.75" customHeight="1">
      <c r="A641" s="60">
        <v>6</v>
      </c>
      <c r="B641" s="71"/>
      <c r="C641" s="74"/>
      <c r="D641" s="74"/>
      <c r="E641" s="384"/>
      <c r="F641" s="385"/>
      <c r="G641" s="75">
        <v>14</v>
      </c>
      <c r="H641" s="71"/>
      <c r="I641" s="386"/>
      <c r="J641" s="387"/>
      <c r="K641" s="387"/>
      <c r="L641" s="388"/>
      <c r="M641" s="386"/>
      <c r="N641" s="387"/>
      <c r="O641" s="387"/>
      <c r="P641" s="388"/>
      <c r="Q641" s="389"/>
      <c r="R641" s="390"/>
      <c r="S641" s="354" t="s">
        <v>176</v>
      </c>
      <c r="T641" s="360"/>
      <c r="U641" s="360"/>
      <c r="V641" s="360"/>
      <c r="W641" s="360"/>
      <c r="X641" s="360"/>
      <c r="Y641" s="361"/>
    </row>
    <row r="642" spans="1:25" s="59" customFormat="1" ht="15.75" customHeight="1">
      <c r="A642" s="60">
        <v>7</v>
      </c>
      <c r="B642" s="71"/>
      <c r="C642" s="74"/>
      <c r="D642" s="74"/>
      <c r="E642" s="384"/>
      <c r="F642" s="385"/>
      <c r="G642" s="75">
        <v>15</v>
      </c>
      <c r="H642" s="71"/>
      <c r="I642" s="386"/>
      <c r="J642" s="387"/>
      <c r="K642" s="387"/>
      <c r="L642" s="388"/>
      <c r="M642" s="386"/>
      <c r="N642" s="387"/>
      <c r="O642" s="387"/>
      <c r="P642" s="388"/>
      <c r="Q642" s="389"/>
      <c r="R642" s="390"/>
      <c r="S642" s="72"/>
      <c r="T642" s="73"/>
      <c r="U642" s="73"/>
      <c r="V642" s="57"/>
      <c r="W642" s="57"/>
      <c r="X642" s="57"/>
      <c r="Y642" s="58"/>
    </row>
    <row r="643" spans="1:25" s="59" customFormat="1" ht="15.75" customHeight="1">
      <c r="A643" s="60">
        <v>8</v>
      </c>
      <c r="B643" s="71"/>
      <c r="C643" s="74"/>
      <c r="D643" s="74"/>
      <c r="E643" s="384"/>
      <c r="F643" s="385"/>
      <c r="G643" s="75">
        <v>16</v>
      </c>
      <c r="H643" s="71"/>
      <c r="I643" s="386"/>
      <c r="J643" s="387"/>
      <c r="K643" s="387"/>
      <c r="L643" s="388"/>
      <c r="M643" s="386"/>
      <c r="N643" s="387"/>
      <c r="O643" s="387"/>
      <c r="P643" s="388"/>
      <c r="Q643" s="389"/>
      <c r="R643" s="390"/>
      <c r="S643" s="76"/>
      <c r="T643" s="77"/>
      <c r="U643" s="77"/>
      <c r="V643" s="78"/>
      <c r="W643" s="78"/>
      <c r="X643" s="78"/>
      <c r="Y643" s="79"/>
    </row>
    <row r="646" spans="1:25" s="59" customFormat="1" ht="20.25">
      <c r="A646" s="336" t="s">
        <v>147</v>
      </c>
      <c r="B646" s="337"/>
      <c r="C646" s="337"/>
      <c r="D646" s="337"/>
      <c r="E646" s="337"/>
      <c r="F646" s="337"/>
      <c r="G646" s="337"/>
      <c r="H646" s="337"/>
      <c r="I646" s="337"/>
      <c r="J646" s="337"/>
      <c r="K646" s="337"/>
      <c r="L646" s="337"/>
      <c r="M646" s="337"/>
      <c r="N646" s="337"/>
      <c r="O646" s="337"/>
      <c r="P646" s="337"/>
      <c r="Q646" s="337"/>
      <c r="R646" s="337"/>
      <c r="S646" s="337"/>
      <c r="T646" s="337"/>
      <c r="U646" s="337"/>
      <c r="V646" s="337"/>
      <c r="W646" s="337"/>
      <c r="X646" s="337"/>
      <c r="Y646" s="338"/>
    </row>
    <row r="647" spans="1:25" s="59" customFormat="1" ht="15.75" customHeight="1">
      <c r="A647" s="339" t="s">
        <v>148</v>
      </c>
      <c r="B647" s="340"/>
      <c r="C647" s="341" t="s">
        <v>177</v>
      </c>
      <c r="D647" s="342"/>
      <c r="E647" s="339" t="s">
        <v>149</v>
      </c>
      <c r="F647" s="343"/>
      <c r="G647" s="340"/>
      <c r="H647" s="341" t="s">
        <v>360</v>
      </c>
      <c r="I647" s="344"/>
      <c r="J647" s="345"/>
      <c r="K647" s="345"/>
      <c r="L647" s="346"/>
      <c r="M647" s="347" t="s">
        <v>150</v>
      </c>
      <c r="N647" s="348"/>
      <c r="O647" s="349"/>
      <c r="P647" s="350" t="s">
        <v>368</v>
      </c>
      <c r="Q647" s="351"/>
      <c r="R647" s="351"/>
      <c r="S647" s="351"/>
      <c r="T647" s="351"/>
      <c r="U647" s="351"/>
      <c r="V647" s="351"/>
      <c r="W647" s="351"/>
      <c r="X647" s="351"/>
      <c r="Y647" s="352"/>
    </row>
    <row r="648" spans="1:25" s="59" customFormat="1" ht="15.75" customHeight="1">
      <c r="A648" s="339" t="s">
        <v>179</v>
      </c>
      <c r="B648" s="340"/>
      <c r="C648" s="377" t="s">
        <v>203</v>
      </c>
      <c r="D648" s="378"/>
      <c r="E648" s="339" t="s">
        <v>151</v>
      </c>
      <c r="F648" s="343"/>
      <c r="G648" s="340"/>
      <c r="H648" s="379" t="s">
        <v>209</v>
      </c>
      <c r="I648" s="380"/>
      <c r="J648" s="339" t="s">
        <v>152</v>
      </c>
      <c r="K648" s="343"/>
      <c r="L648" s="340"/>
      <c r="M648" s="381"/>
      <c r="N648" s="375"/>
      <c r="O648" s="376"/>
      <c r="P648" s="373" t="s">
        <v>153</v>
      </c>
      <c r="Q648" s="374"/>
      <c r="R648" s="375"/>
      <c r="S648" s="375"/>
      <c r="T648" s="375" t="e">
        <f>VLOOKUP(I646,eventslist,4,FALSE)</f>
        <v>#NAME?</v>
      </c>
      <c r="U648" s="375"/>
      <c r="V648" s="375" t="e">
        <f>VLOOKUP(K646,eventslist,4,FALSE)</f>
        <v>#NAME?</v>
      </c>
      <c r="W648" s="375"/>
      <c r="X648" s="375" t="e">
        <f>VLOOKUP(M646,eventslist,4,FALSE)</f>
        <v>#NAME?</v>
      </c>
      <c r="Y648" s="376"/>
    </row>
    <row r="649" spans="1:25" s="59" customFormat="1" ht="31.5" customHeight="1">
      <c r="A649" s="60" t="s">
        <v>154</v>
      </c>
      <c r="B649" s="60" t="s">
        <v>155</v>
      </c>
      <c r="C649" s="61" t="s">
        <v>156</v>
      </c>
      <c r="D649" s="62" t="s">
        <v>157</v>
      </c>
      <c r="E649" s="362" t="s">
        <v>158</v>
      </c>
      <c r="F649" s="357"/>
      <c r="G649" s="357" t="s">
        <v>159</v>
      </c>
      <c r="H649" s="357"/>
      <c r="I649" s="357" t="s">
        <v>160</v>
      </c>
      <c r="J649" s="357"/>
      <c r="K649" s="357" t="s">
        <v>161</v>
      </c>
      <c r="L649" s="357"/>
      <c r="M649" s="355" t="s">
        <v>162</v>
      </c>
      <c r="N649" s="357" t="s">
        <v>163</v>
      </c>
      <c r="O649" s="357"/>
      <c r="P649" s="357" t="s">
        <v>164</v>
      </c>
      <c r="Q649" s="357"/>
      <c r="R649" s="357" t="s">
        <v>165</v>
      </c>
      <c r="S649" s="357"/>
      <c r="T649" s="357" t="s">
        <v>166</v>
      </c>
      <c r="U649" s="358"/>
      <c r="V649" s="359" t="s">
        <v>167</v>
      </c>
      <c r="W649" s="354" t="s">
        <v>168</v>
      </c>
      <c r="X649" s="360"/>
      <c r="Y649" s="361"/>
    </row>
    <row r="650" spans="1:25" s="59" customFormat="1" ht="12.75">
      <c r="A650" s="63"/>
      <c r="B650" s="63"/>
      <c r="C650" s="120" t="s">
        <v>403</v>
      </c>
      <c r="D650" s="370" t="s">
        <v>318</v>
      </c>
      <c r="E650" s="371"/>
      <c r="F650" s="372"/>
      <c r="G650" s="353" t="s">
        <v>169</v>
      </c>
      <c r="H650" s="353"/>
      <c r="I650" s="353" t="s">
        <v>169</v>
      </c>
      <c r="J650" s="353"/>
      <c r="K650" s="353" t="s">
        <v>169</v>
      </c>
      <c r="L650" s="353"/>
      <c r="M650" s="356"/>
      <c r="N650" s="353" t="s">
        <v>169</v>
      </c>
      <c r="O650" s="353"/>
      <c r="P650" s="353" t="s">
        <v>169</v>
      </c>
      <c r="Q650" s="353"/>
      <c r="R650" s="353" t="s">
        <v>169</v>
      </c>
      <c r="S650" s="353"/>
      <c r="T650" s="353" t="s">
        <v>169</v>
      </c>
      <c r="U650" s="354"/>
      <c r="V650" s="355"/>
      <c r="W650" s="60"/>
      <c r="X650" s="60" t="s">
        <v>170</v>
      </c>
      <c r="Y650" s="60" t="s">
        <v>171</v>
      </c>
    </row>
    <row r="651" spans="1:25" s="59" customFormat="1" ht="15.75" customHeight="1">
      <c r="A651" s="63">
        <v>1</v>
      </c>
      <c r="B651" s="119">
        <v>1</v>
      </c>
      <c r="C651" s="122" t="s">
        <v>699</v>
      </c>
      <c r="D651" s="122" t="s">
        <v>20</v>
      </c>
      <c r="E651" s="366"/>
      <c r="F651" s="367"/>
      <c r="G651" s="366"/>
      <c r="H651" s="367"/>
      <c r="I651" s="366"/>
      <c r="J651" s="367"/>
      <c r="K651" s="368"/>
      <c r="L651" s="369"/>
      <c r="M651" s="67"/>
      <c r="N651" s="366"/>
      <c r="O651" s="367"/>
      <c r="P651" s="366"/>
      <c r="Q651" s="367"/>
      <c r="R651" s="366"/>
      <c r="S651" s="367"/>
      <c r="T651" s="368"/>
      <c r="U651" s="369"/>
      <c r="V651" s="67"/>
      <c r="W651" s="68"/>
      <c r="X651" s="68"/>
      <c r="Y651" s="68"/>
    </row>
    <row r="652" spans="1:25" s="59" customFormat="1" ht="15.75" customHeight="1">
      <c r="A652" s="60">
        <v>2</v>
      </c>
      <c r="B652" s="119">
        <v>2</v>
      </c>
      <c r="C652" s="122" t="s">
        <v>700</v>
      </c>
      <c r="D652" s="122" t="s">
        <v>20</v>
      </c>
      <c r="E652" s="366"/>
      <c r="F652" s="367"/>
      <c r="G652" s="366"/>
      <c r="H652" s="367"/>
      <c r="I652" s="366"/>
      <c r="J652" s="367"/>
      <c r="K652" s="368"/>
      <c r="L652" s="369"/>
      <c r="M652" s="67"/>
      <c r="N652" s="366"/>
      <c r="O652" s="367"/>
      <c r="P652" s="366"/>
      <c r="Q652" s="367"/>
      <c r="R652" s="366"/>
      <c r="S652" s="367"/>
      <c r="T652" s="368"/>
      <c r="U652" s="369"/>
      <c r="V652" s="67"/>
      <c r="W652" s="68"/>
      <c r="X652" s="68"/>
      <c r="Y652" s="68"/>
    </row>
    <row r="653" spans="1:25" s="59" customFormat="1" ht="15.75" customHeight="1">
      <c r="A653" s="60">
        <v>3</v>
      </c>
      <c r="B653" s="119">
        <v>3</v>
      </c>
      <c r="C653" s="119" t="s">
        <v>701</v>
      </c>
      <c r="D653" s="122" t="s">
        <v>16</v>
      </c>
      <c r="E653" s="366"/>
      <c r="F653" s="367"/>
      <c r="G653" s="366"/>
      <c r="H653" s="367"/>
      <c r="I653" s="366"/>
      <c r="J653" s="367"/>
      <c r="K653" s="368"/>
      <c r="L653" s="369"/>
      <c r="M653" s="67"/>
      <c r="N653" s="366"/>
      <c r="O653" s="367"/>
      <c r="P653" s="366"/>
      <c r="Q653" s="367"/>
      <c r="R653" s="366"/>
      <c r="S653" s="367"/>
      <c r="T653" s="368"/>
      <c r="U653" s="369"/>
      <c r="V653" s="67"/>
      <c r="W653" s="68"/>
      <c r="X653" s="68"/>
      <c r="Y653" s="68"/>
    </row>
    <row r="654" spans="1:25" s="59" customFormat="1" ht="15.75" customHeight="1">
      <c r="A654" s="60">
        <v>4</v>
      </c>
      <c r="B654" s="119">
        <v>4</v>
      </c>
      <c r="C654" s="122" t="s">
        <v>702</v>
      </c>
      <c r="D654" s="122" t="s">
        <v>16</v>
      </c>
      <c r="E654" s="366"/>
      <c r="F654" s="367"/>
      <c r="G654" s="366"/>
      <c r="H654" s="367"/>
      <c r="I654" s="366"/>
      <c r="J654" s="367"/>
      <c r="K654" s="368"/>
      <c r="L654" s="369"/>
      <c r="M654" s="67"/>
      <c r="N654" s="366"/>
      <c r="O654" s="367"/>
      <c r="P654" s="366"/>
      <c r="Q654" s="367"/>
      <c r="R654" s="366"/>
      <c r="S654" s="367"/>
      <c r="T654" s="368"/>
      <c r="U654" s="369"/>
      <c r="V654" s="67"/>
      <c r="W654" s="68"/>
      <c r="X654" s="68"/>
      <c r="Y654" s="68"/>
    </row>
    <row r="655" spans="1:25" s="59" customFormat="1" ht="15.75" customHeight="1">
      <c r="A655" s="60">
        <v>5</v>
      </c>
      <c r="B655" s="119">
        <v>7</v>
      </c>
      <c r="C655" s="122" t="s">
        <v>706</v>
      </c>
      <c r="D655" s="122" t="s">
        <v>22</v>
      </c>
      <c r="E655" s="366"/>
      <c r="F655" s="367"/>
      <c r="G655" s="366"/>
      <c r="H655" s="367"/>
      <c r="I655" s="366"/>
      <c r="J655" s="367"/>
      <c r="K655" s="368"/>
      <c r="L655" s="369"/>
      <c r="M655" s="67"/>
      <c r="N655" s="366"/>
      <c r="O655" s="367"/>
      <c r="P655" s="366"/>
      <c r="Q655" s="367"/>
      <c r="R655" s="366"/>
      <c r="S655" s="367"/>
      <c r="T655" s="368"/>
      <c r="U655" s="369"/>
      <c r="V655" s="67"/>
      <c r="W655" s="68"/>
      <c r="X655" s="68"/>
      <c r="Y655" s="68"/>
    </row>
    <row r="656" spans="1:25" s="59" customFormat="1" ht="15.75" customHeight="1">
      <c r="A656" s="60">
        <v>6</v>
      </c>
      <c r="B656" s="119">
        <v>9</v>
      </c>
      <c r="C656" s="122" t="s">
        <v>708</v>
      </c>
      <c r="D656" s="122" t="s">
        <v>92</v>
      </c>
      <c r="E656" s="366"/>
      <c r="F656" s="367"/>
      <c r="G656" s="366"/>
      <c r="H656" s="367"/>
      <c r="I656" s="366"/>
      <c r="J656" s="367"/>
      <c r="K656" s="368"/>
      <c r="L656" s="369"/>
      <c r="M656" s="67"/>
      <c r="N656" s="366"/>
      <c r="O656" s="367"/>
      <c r="P656" s="366"/>
      <c r="Q656" s="367"/>
      <c r="R656" s="366"/>
      <c r="S656" s="367"/>
      <c r="T656" s="368"/>
      <c r="U656" s="369"/>
      <c r="V656" s="67"/>
      <c r="W656" s="68"/>
      <c r="X656" s="68"/>
      <c r="Y656" s="68"/>
    </row>
    <row r="657" spans="1:25" s="59" customFormat="1" ht="15.75" customHeight="1">
      <c r="A657" s="60">
        <v>7</v>
      </c>
      <c r="B657" s="119">
        <v>10</v>
      </c>
      <c r="C657" s="122" t="s">
        <v>709</v>
      </c>
      <c r="D657" s="122" t="s">
        <v>92</v>
      </c>
      <c r="E657" s="366"/>
      <c r="F657" s="367"/>
      <c r="G657" s="366"/>
      <c r="H657" s="367"/>
      <c r="I657" s="366"/>
      <c r="J657" s="367"/>
      <c r="K657" s="368"/>
      <c r="L657" s="369"/>
      <c r="M657" s="67"/>
      <c r="N657" s="366"/>
      <c r="O657" s="367"/>
      <c r="P657" s="366"/>
      <c r="Q657" s="367"/>
      <c r="R657" s="366"/>
      <c r="S657" s="367"/>
      <c r="T657" s="368"/>
      <c r="U657" s="369"/>
      <c r="V657" s="67"/>
      <c r="W657" s="68"/>
      <c r="X657" s="68"/>
      <c r="Y657" s="68"/>
    </row>
    <row r="658" spans="1:25" s="59" customFormat="1" ht="15.75" customHeight="1">
      <c r="A658" s="60">
        <v>8</v>
      </c>
      <c r="B658" s="119">
        <v>11</v>
      </c>
      <c r="C658" s="122" t="s">
        <v>710</v>
      </c>
      <c r="D658" s="122" t="s">
        <v>19</v>
      </c>
      <c r="E658" s="366"/>
      <c r="F658" s="367"/>
      <c r="G658" s="366"/>
      <c r="H658" s="367"/>
      <c r="I658" s="366"/>
      <c r="J658" s="367"/>
      <c r="K658" s="368"/>
      <c r="L658" s="369"/>
      <c r="M658" s="67"/>
      <c r="N658" s="366"/>
      <c r="O658" s="367"/>
      <c r="P658" s="366"/>
      <c r="Q658" s="367"/>
      <c r="R658" s="366"/>
      <c r="S658" s="367"/>
      <c r="T658" s="368"/>
      <c r="U658" s="369"/>
      <c r="V658" s="67"/>
      <c r="W658" s="68"/>
      <c r="X658" s="68"/>
      <c r="Y658" s="68"/>
    </row>
    <row r="659" spans="1:25" s="59" customFormat="1" ht="15.75" customHeight="1">
      <c r="A659" s="60">
        <v>9</v>
      </c>
      <c r="B659" s="119">
        <v>12</v>
      </c>
      <c r="C659" s="122" t="s">
        <v>711</v>
      </c>
      <c r="D659" s="122" t="s">
        <v>19</v>
      </c>
      <c r="E659" s="366"/>
      <c r="F659" s="367"/>
      <c r="G659" s="366"/>
      <c r="H659" s="367"/>
      <c r="I659" s="366"/>
      <c r="J659" s="367"/>
      <c r="K659" s="368"/>
      <c r="L659" s="369"/>
      <c r="M659" s="67"/>
      <c r="N659" s="366"/>
      <c r="O659" s="367"/>
      <c r="P659" s="366"/>
      <c r="Q659" s="367"/>
      <c r="R659" s="366"/>
      <c r="S659" s="367"/>
      <c r="T659" s="368"/>
      <c r="U659" s="369"/>
      <c r="V659" s="67"/>
      <c r="W659" s="68"/>
      <c r="X659" s="68"/>
      <c r="Y659" s="68"/>
    </row>
    <row r="660" spans="1:25" s="59" customFormat="1" ht="15.75" customHeight="1">
      <c r="A660" s="247">
        <v>10</v>
      </c>
      <c r="B660" s="119">
        <v>5</v>
      </c>
      <c r="C660" s="119" t="s">
        <v>703</v>
      </c>
      <c r="D660" s="122" t="s">
        <v>18</v>
      </c>
      <c r="E660" s="237"/>
      <c r="F660" s="238"/>
      <c r="G660" s="237"/>
      <c r="H660" s="238"/>
      <c r="I660" s="237"/>
      <c r="J660" s="238"/>
      <c r="K660" s="239"/>
      <c r="L660" s="240"/>
      <c r="M660" s="67"/>
      <c r="N660" s="237"/>
      <c r="O660" s="238"/>
      <c r="P660" s="237"/>
      <c r="Q660" s="238"/>
      <c r="R660" s="237"/>
      <c r="S660" s="238"/>
      <c r="T660" s="239"/>
      <c r="U660" s="240"/>
      <c r="V660" s="67"/>
      <c r="W660" s="250"/>
      <c r="X660" s="250"/>
      <c r="Y660" s="250"/>
    </row>
    <row r="661" spans="1:25" s="59" customFormat="1" ht="15.75" customHeight="1">
      <c r="A661" s="247">
        <v>11</v>
      </c>
      <c r="B661" s="119" t="s">
        <v>728</v>
      </c>
      <c r="C661" s="119" t="s">
        <v>704</v>
      </c>
      <c r="D661" s="122" t="s">
        <v>18</v>
      </c>
      <c r="E661" s="237"/>
      <c r="F661" s="238"/>
      <c r="G661" s="237"/>
      <c r="H661" s="238"/>
      <c r="I661" s="237"/>
      <c r="J661" s="238"/>
      <c r="K661" s="239"/>
      <c r="L661" s="240"/>
      <c r="M661" s="67"/>
      <c r="N661" s="237"/>
      <c r="O661" s="238"/>
      <c r="P661" s="237"/>
      <c r="Q661" s="238"/>
      <c r="R661" s="237"/>
      <c r="S661" s="238"/>
      <c r="T661" s="239"/>
      <c r="U661" s="240"/>
      <c r="V661" s="67"/>
      <c r="W661" s="250"/>
      <c r="X661" s="250"/>
      <c r="Y661" s="250"/>
    </row>
    <row r="662" spans="1:25" s="59" customFormat="1" ht="15.75" customHeight="1">
      <c r="A662" s="247">
        <v>12</v>
      </c>
      <c r="B662" s="119">
        <v>6</v>
      </c>
      <c r="C662" s="119" t="s">
        <v>705</v>
      </c>
      <c r="D662" s="122" t="s">
        <v>18</v>
      </c>
      <c r="E662" s="237"/>
      <c r="F662" s="238"/>
      <c r="G662" s="237"/>
      <c r="H662" s="238"/>
      <c r="I662" s="237"/>
      <c r="J662" s="238"/>
      <c r="K662" s="239"/>
      <c r="L662" s="240"/>
      <c r="M662" s="67"/>
      <c r="N662" s="237"/>
      <c r="O662" s="238"/>
      <c r="P662" s="237"/>
      <c r="Q662" s="238"/>
      <c r="R662" s="237"/>
      <c r="S662" s="238"/>
      <c r="T662" s="239"/>
      <c r="U662" s="240"/>
      <c r="V662" s="67"/>
      <c r="W662" s="250"/>
      <c r="X662" s="250"/>
      <c r="Y662" s="250"/>
    </row>
    <row r="663" spans="1:25" s="59" customFormat="1" ht="15.75" customHeight="1">
      <c r="A663" s="60">
        <v>13</v>
      </c>
      <c r="B663" s="119">
        <v>8</v>
      </c>
      <c r="C663" s="119" t="s">
        <v>707</v>
      </c>
      <c r="D663" s="119" t="s">
        <v>22</v>
      </c>
      <c r="E663" s="366"/>
      <c r="F663" s="367"/>
      <c r="G663" s="366"/>
      <c r="H663" s="367"/>
      <c r="I663" s="366"/>
      <c r="J663" s="367"/>
      <c r="K663" s="368"/>
      <c r="L663" s="369"/>
      <c r="M663" s="67"/>
      <c r="N663" s="366"/>
      <c r="O663" s="367"/>
      <c r="P663" s="366"/>
      <c r="Q663" s="367"/>
      <c r="R663" s="366"/>
      <c r="S663" s="367"/>
      <c r="T663" s="368"/>
      <c r="U663" s="369"/>
      <c r="V663" s="67"/>
      <c r="W663" s="68"/>
      <c r="X663" s="68"/>
      <c r="Y663" s="68"/>
    </row>
    <row r="664" spans="1:25" s="59" customFormat="1" ht="15.75" customHeight="1">
      <c r="A664" s="60"/>
      <c r="B664" s="119"/>
      <c r="C664" s="120" t="s">
        <v>404</v>
      </c>
      <c r="D664" s="370" t="s">
        <v>426</v>
      </c>
      <c r="E664" s="371"/>
      <c r="F664" s="372"/>
      <c r="G664" s="366"/>
      <c r="H664" s="367"/>
      <c r="I664" s="366"/>
      <c r="J664" s="367"/>
      <c r="K664" s="368"/>
      <c r="L664" s="369"/>
      <c r="M664" s="67"/>
      <c r="N664" s="366"/>
      <c r="O664" s="367"/>
      <c r="P664" s="366"/>
      <c r="Q664" s="367"/>
      <c r="R664" s="366"/>
      <c r="S664" s="367"/>
      <c r="T664" s="368"/>
      <c r="U664" s="369"/>
      <c r="V664" s="67"/>
      <c r="W664" s="68"/>
      <c r="X664" s="68"/>
      <c r="Y664" s="68"/>
    </row>
    <row r="665" spans="1:25" s="59" customFormat="1" ht="15.75" customHeight="1">
      <c r="A665" s="60">
        <v>14</v>
      </c>
      <c r="B665" s="119">
        <v>11</v>
      </c>
      <c r="C665" s="122" t="s">
        <v>712</v>
      </c>
      <c r="D665" s="122" t="s">
        <v>19</v>
      </c>
      <c r="E665" s="366"/>
      <c r="F665" s="367"/>
      <c r="G665" s="366"/>
      <c r="H665" s="367"/>
      <c r="I665" s="366"/>
      <c r="J665" s="367"/>
      <c r="K665" s="368"/>
      <c r="L665" s="369"/>
      <c r="M665" s="67"/>
      <c r="N665" s="366"/>
      <c r="O665" s="367"/>
      <c r="P665" s="366"/>
      <c r="Q665" s="367"/>
      <c r="R665" s="366"/>
      <c r="S665" s="367"/>
      <c r="T665" s="368"/>
      <c r="U665" s="369"/>
      <c r="V665" s="67"/>
      <c r="W665" s="68"/>
      <c r="X665" s="68"/>
      <c r="Y665" s="68"/>
    </row>
    <row r="666" spans="1:25" s="59" customFormat="1" ht="15.75" customHeight="1">
      <c r="A666" s="60">
        <v>15</v>
      </c>
      <c r="B666" s="119">
        <v>7</v>
      </c>
      <c r="C666" s="122" t="s">
        <v>713</v>
      </c>
      <c r="D666" s="122" t="s">
        <v>22</v>
      </c>
      <c r="E666" s="366"/>
      <c r="F666" s="367"/>
      <c r="G666" s="366"/>
      <c r="H666" s="367"/>
      <c r="I666" s="366"/>
      <c r="J666" s="367"/>
      <c r="K666" s="368"/>
      <c r="L666" s="369"/>
      <c r="M666" s="67"/>
      <c r="N666" s="366"/>
      <c r="O666" s="367"/>
      <c r="P666" s="366"/>
      <c r="Q666" s="367"/>
      <c r="R666" s="366"/>
      <c r="S666" s="367"/>
      <c r="T666" s="368"/>
      <c r="U666" s="369"/>
      <c r="V666" s="67"/>
      <c r="W666" s="68"/>
      <c r="X666" s="68"/>
      <c r="Y666" s="68"/>
    </row>
    <row r="667" spans="1:25" s="59" customFormat="1" ht="15.75" customHeight="1">
      <c r="A667" s="60">
        <v>16</v>
      </c>
      <c r="B667" s="119">
        <v>8</v>
      </c>
      <c r="C667" s="122" t="s">
        <v>714</v>
      </c>
      <c r="D667" s="122" t="s">
        <v>22</v>
      </c>
      <c r="E667" s="366"/>
      <c r="F667" s="367"/>
      <c r="G667" s="366"/>
      <c r="H667" s="367"/>
      <c r="I667" s="366"/>
      <c r="J667" s="367"/>
      <c r="K667" s="368"/>
      <c r="L667" s="369"/>
      <c r="M667" s="67"/>
      <c r="N667" s="366"/>
      <c r="O667" s="367"/>
      <c r="P667" s="366"/>
      <c r="Q667" s="367"/>
      <c r="R667" s="366"/>
      <c r="S667" s="367"/>
      <c r="T667" s="368"/>
      <c r="U667" s="369"/>
      <c r="V667" s="67"/>
      <c r="W667" s="68"/>
      <c r="X667" s="68"/>
      <c r="Y667" s="68"/>
    </row>
    <row r="668" spans="1:4" s="59" customFormat="1" ht="12.75">
      <c r="A668" s="69"/>
      <c r="C668" s="70"/>
      <c r="D668" s="70"/>
    </row>
    <row r="669" spans="1:25" s="59" customFormat="1" ht="12.75">
      <c r="A669" s="394" t="s">
        <v>172</v>
      </c>
      <c r="B669" s="395"/>
      <c r="C669" s="395"/>
      <c r="D669" s="395"/>
      <c r="E669" s="395"/>
      <c r="F669" s="395"/>
      <c r="G669" s="341" t="s">
        <v>172</v>
      </c>
      <c r="H669" s="396"/>
      <c r="I669" s="396"/>
      <c r="J669" s="396"/>
      <c r="K669" s="396"/>
      <c r="L669" s="396"/>
      <c r="M669" s="396"/>
      <c r="N669" s="396"/>
      <c r="O669" s="396"/>
      <c r="P669" s="396"/>
      <c r="Q669" s="396"/>
      <c r="R669" s="397"/>
      <c r="S669" s="354" t="s">
        <v>173</v>
      </c>
      <c r="T669" s="360"/>
      <c r="U669" s="360"/>
      <c r="V669" s="360"/>
      <c r="W669" s="360"/>
      <c r="X669" s="360"/>
      <c r="Y669" s="361"/>
    </row>
    <row r="670" spans="1:25" s="59" customFormat="1" ht="12.75">
      <c r="A670" s="60" t="s">
        <v>0</v>
      </c>
      <c r="B670" s="60" t="s">
        <v>174</v>
      </c>
      <c r="C670" s="60" t="s">
        <v>156</v>
      </c>
      <c r="D670" s="60" t="s">
        <v>157</v>
      </c>
      <c r="E670" s="353" t="s">
        <v>175</v>
      </c>
      <c r="F670" s="353"/>
      <c r="G670" s="63" t="s">
        <v>0</v>
      </c>
      <c r="H670" s="64" t="s">
        <v>174</v>
      </c>
      <c r="I670" s="354" t="s">
        <v>156</v>
      </c>
      <c r="J670" s="360"/>
      <c r="K670" s="360"/>
      <c r="L670" s="361"/>
      <c r="M670" s="391" t="s">
        <v>157</v>
      </c>
      <c r="N670" s="392"/>
      <c r="O670" s="392"/>
      <c r="P670" s="393"/>
      <c r="Q670" s="354" t="s">
        <v>175</v>
      </c>
      <c r="R670" s="361"/>
      <c r="S670" s="72"/>
      <c r="T670" s="73"/>
      <c r="U670" s="73"/>
      <c r="V670" s="57"/>
      <c r="W670" s="57"/>
      <c r="X670" s="57"/>
      <c r="Y670" s="58"/>
    </row>
    <row r="671" spans="1:25" s="59" customFormat="1" ht="15.75" customHeight="1">
      <c r="A671" s="60">
        <v>1</v>
      </c>
      <c r="B671" s="71"/>
      <c r="C671" s="74"/>
      <c r="D671" s="74"/>
      <c r="E671" s="384"/>
      <c r="F671" s="385"/>
      <c r="G671" s="75">
        <v>9</v>
      </c>
      <c r="H671" s="71"/>
      <c r="I671" s="386"/>
      <c r="J671" s="387"/>
      <c r="K671" s="387"/>
      <c r="L671" s="388"/>
      <c r="M671" s="386"/>
      <c r="N671" s="387"/>
      <c r="O671" s="387"/>
      <c r="P671" s="388"/>
      <c r="Q671" s="384"/>
      <c r="R671" s="385"/>
      <c r="S671" s="76"/>
      <c r="T671" s="77"/>
      <c r="U671" s="77"/>
      <c r="V671" s="78"/>
      <c r="W671" s="78"/>
      <c r="X671" s="78"/>
      <c r="Y671" s="79"/>
    </row>
    <row r="672" spans="1:25" s="59" customFormat="1" ht="15.75" customHeight="1">
      <c r="A672" s="60">
        <v>2</v>
      </c>
      <c r="B672" s="71"/>
      <c r="C672" s="74"/>
      <c r="D672" s="74"/>
      <c r="E672" s="384"/>
      <c r="F672" s="385"/>
      <c r="G672" s="75">
        <v>10</v>
      </c>
      <c r="H672" s="71"/>
      <c r="I672" s="386"/>
      <c r="J672" s="387"/>
      <c r="K672" s="387"/>
      <c r="L672" s="388"/>
      <c r="M672" s="386"/>
      <c r="N672" s="387"/>
      <c r="O672" s="387"/>
      <c r="P672" s="388"/>
      <c r="Q672" s="389"/>
      <c r="R672" s="390"/>
      <c r="S672" s="72"/>
      <c r="T672" s="73"/>
      <c r="U672" s="73"/>
      <c r="V672" s="57"/>
      <c r="W672" s="57"/>
      <c r="X672" s="57"/>
      <c r="Y672" s="58"/>
    </row>
    <row r="673" spans="1:25" s="59" customFormat="1" ht="15.75" customHeight="1">
      <c r="A673" s="60">
        <v>3</v>
      </c>
      <c r="B673" s="71"/>
      <c r="C673" s="74"/>
      <c r="D673" s="74"/>
      <c r="E673" s="384"/>
      <c r="F673" s="385"/>
      <c r="G673" s="75">
        <v>11</v>
      </c>
      <c r="H673" s="71"/>
      <c r="I673" s="386"/>
      <c r="J673" s="387"/>
      <c r="K673" s="387"/>
      <c r="L673" s="388"/>
      <c r="M673" s="386"/>
      <c r="N673" s="387"/>
      <c r="O673" s="387"/>
      <c r="P673" s="388"/>
      <c r="Q673" s="389"/>
      <c r="R673" s="390"/>
      <c r="S673" s="76"/>
      <c r="T673" s="77"/>
      <c r="U673" s="77"/>
      <c r="V673" s="78"/>
      <c r="W673" s="78"/>
      <c r="X673" s="78"/>
      <c r="Y673" s="79"/>
    </row>
    <row r="674" spans="1:25" s="59" customFormat="1" ht="15.75" customHeight="1">
      <c r="A674" s="60">
        <v>4</v>
      </c>
      <c r="B674" s="71"/>
      <c r="C674" s="74"/>
      <c r="D674" s="74"/>
      <c r="E674" s="384"/>
      <c r="F674" s="385"/>
      <c r="G674" s="75">
        <v>12</v>
      </c>
      <c r="H674" s="71"/>
      <c r="I674" s="386"/>
      <c r="J674" s="387"/>
      <c r="K674" s="387"/>
      <c r="L674" s="388"/>
      <c r="M674" s="386"/>
      <c r="N674" s="387"/>
      <c r="O674" s="387"/>
      <c r="P674" s="388"/>
      <c r="Q674" s="389"/>
      <c r="R674" s="390"/>
      <c r="S674" s="72"/>
      <c r="T674" s="73"/>
      <c r="U674" s="73"/>
      <c r="V674" s="57"/>
      <c r="W674" s="57"/>
      <c r="X674" s="57"/>
      <c r="Y674" s="58"/>
    </row>
    <row r="675" spans="1:25" s="59" customFormat="1" ht="15.75" customHeight="1">
      <c r="A675" s="60">
        <v>5</v>
      </c>
      <c r="B675" s="71"/>
      <c r="C675" s="74"/>
      <c r="D675" s="74"/>
      <c r="E675" s="384"/>
      <c r="F675" s="385"/>
      <c r="G675" s="75">
        <v>13</v>
      </c>
      <c r="H675" s="71"/>
      <c r="I675" s="386"/>
      <c r="J675" s="387"/>
      <c r="K675" s="387"/>
      <c r="L675" s="388"/>
      <c r="M675" s="386"/>
      <c r="N675" s="387"/>
      <c r="O675" s="387"/>
      <c r="P675" s="388"/>
      <c r="Q675" s="389"/>
      <c r="R675" s="390"/>
      <c r="S675" s="76"/>
      <c r="T675" s="77"/>
      <c r="U675" s="77"/>
      <c r="V675" s="78"/>
      <c r="W675" s="78"/>
      <c r="X675" s="78"/>
      <c r="Y675" s="79"/>
    </row>
    <row r="676" spans="1:25" s="59" customFormat="1" ht="15.75" customHeight="1">
      <c r="A676" s="60">
        <v>6</v>
      </c>
      <c r="B676" s="71"/>
      <c r="C676" s="74"/>
      <c r="D676" s="74"/>
      <c r="E676" s="384"/>
      <c r="F676" s="385"/>
      <c r="G676" s="75">
        <v>14</v>
      </c>
      <c r="H676" s="71"/>
      <c r="I676" s="386"/>
      <c r="J676" s="387"/>
      <c r="K676" s="387"/>
      <c r="L676" s="388"/>
      <c r="M676" s="386"/>
      <c r="N676" s="387"/>
      <c r="O676" s="387"/>
      <c r="P676" s="388"/>
      <c r="Q676" s="389"/>
      <c r="R676" s="390"/>
      <c r="S676" s="354" t="s">
        <v>176</v>
      </c>
      <c r="T676" s="360"/>
      <c r="U676" s="360"/>
      <c r="V676" s="360"/>
      <c r="W676" s="360"/>
      <c r="X676" s="360"/>
      <c r="Y676" s="361"/>
    </row>
    <row r="677" spans="1:25" s="59" customFormat="1" ht="15.75" customHeight="1">
      <c r="A677" s="60">
        <v>7</v>
      </c>
      <c r="B677" s="71"/>
      <c r="C677" s="74"/>
      <c r="D677" s="74"/>
      <c r="E677" s="384"/>
      <c r="F677" s="385"/>
      <c r="G677" s="75">
        <v>15</v>
      </c>
      <c r="H677" s="71"/>
      <c r="I677" s="386"/>
      <c r="J677" s="387"/>
      <c r="K677" s="387"/>
      <c r="L677" s="388"/>
      <c r="M677" s="386"/>
      <c r="N677" s="387"/>
      <c r="O677" s="387"/>
      <c r="P677" s="388"/>
      <c r="Q677" s="389"/>
      <c r="R677" s="390"/>
      <c r="S677" s="72"/>
      <c r="T677" s="73"/>
      <c r="U677" s="73"/>
      <c r="V677" s="57"/>
      <c r="W677" s="57"/>
      <c r="X677" s="57"/>
      <c r="Y677" s="58"/>
    </row>
    <row r="678" spans="1:25" s="59" customFormat="1" ht="15.75" customHeight="1">
      <c r="A678" s="60">
        <v>8</v>
      </c>
      <c r="B678" s="71"/>
      <c r="C678" s="74"/>
      <c r="D678" s="74"/>
      <c r="E678" s="384"/>
      <c r="F678" s="385"/>
      <c r="G678" s="75">
        <v>16</v>
      </c>
      <c r="H678" s="71"/>
      <c r="I678" s="386"/>
      <c r="J678" s="387"/>
      <c r="K678" s="387"/>
      <c r="L678" s="388"/>
      <c r="M678" s="386"/>
      <c r="N678" s="387"/>
      <c r="O678" s="387"/>
      <c r="P678" s="388"/>
      <c r="Q678" s="389"/>
      <c r="R678" s="390"/>
      <c r="S678" s="76"/>
      <c r="T678" s="77"/>
      <c r="U678" s="77"/>
      <c r="V678" s="78"/>
      <c r="W678" s="78"/>
      <c r="X678" s="78"/>
      <c r="Y678" s="79"/>
    </row>
    <row r="681" spans="1:25" s="59" customFormat="1" ht="20.25">
      <c r="A681" s="336" t="s">
        <v>147</v>
      </c>
      <c r="B681" s="337"/>
      <c r="C681" s="337"/>
      <c r="D681" s="337"/>
      <c r="E681" s="337"/>
      <c r="F681" s="337"/>
      <c r="G681" s="337"/>
      <c r="H681" s="337"/>
      <c r="I681" s="337"/>
      <c r="J681" s="337"/>
      <c r="K681" s="337"/>
      <c r="L681" s="337"/>
      <c r="M681" s="337"/>
      <c r="N681" s="337"/>
      <c r="O681" s="337"/>
      <c r="P681" s="337"/>
      <c r="Q681" s="337"/>
      <c r="R681" s="337"/>
      <c r="S681" s="337"/>
      <c r="T681" s="337"/>
      <c r="U681" s="337"/>
      <c r="V681" s="337"/>
      <c r="W681" s="337"/>
      <c r="X681" s="337"/>
      <c r="Y681" s="338"/>
    </row>
    <row r="682" spans="1:25" s="59" customFormat="1" ht="15.75" customHeight="1">
      <c r="A682" s="339" t="s">
        <v>148</v>
      </c>
      <c r="B682" s="340"/>
      <c r="C682" s="341" t="s">
        <v>177</v>
      </c>
      <c r="D682" s="342"/>
      <c r="E682" s="339" t="s">
        <v>149</v>
      </c>
      <c r="F682" s="343"/>
      <c r="G682" s="340"/>
      <c r="H682" s="341"/>
      <c r="I682" s="344"/>
      <c r="J682" s="345"/>
      <c r="K682" s="345"/>
      <c r="L682" s="346"/>
      <c r="M682" s="347" t="s">
        <v>150</v>
      </c>
      <c r="N682" s="348"/>
      <c r="O682" s="349"/>
      <c r="P682" s="350"/>
      <c r="Q682" s="351"/>
      <c r="R682" s="351"/>
      <c r="S682" s="351"/>
      <c r="T682" s="351"/>
      <c r="U682" s="351"/>
      <c r="V682" s="351"/>
      <c r="W682" s="351"/>
      <c r="X682" s="351"/>
      <c r="Y682" s="352"/>
    </row>
    <row r="683" spans="1:25" s="59" customFormat="1" ht="15.75" customHeight="1">
      <c r="A683" s="339" t="s">
        <v>179</v>
      </c>
      <c r="B683" s="340"/>
      <c r="C683" s="377"/>
      <c r="D683" s="378"/>
      <c r="E683" s="339" t="s">
        <v>151</v>
      </c>
      <c r="F683" s="343"/>
      <c r="G683" s="340"/>
      <c r="H683" s="379"/>
      <c r="I683" s="380"/>
      <c r="J683" s="339" t="s">
        <v>152</v>
      </c>
      <c r="K683" s="343"/>
      <c r="L683" s="340"/>
      <c r="M683" s="381"/>
      <c r="N683" s="375"/>
      <c r="O683" s="376"/>
      <c r="P683" s="373" t="s">
        <v>153</v>
      </c>
      <c r="Q683" s="374"/>
      <c r="R683" s="375"/>
      <c r="S683" s="375"/>
      <c r="T683" s="375" t="e">
        <f>VLOOKUP(I681,eventslist,4,FALSE)</f>
        <v>#NAME?</v>
      </c>
      <c r="U683" s="375"/>
      <c r="V683" s="375" t="e">
        <f>VLOOKUP(K681,eventslist,4,FALSE)</f>
        <v>#NAME?</v>
      </c>
      <c r="W683" s="375"/>
      <c r="X683" s="375" t="e">
        <f>VLOOKUP(M681,eventslist,4,FALSE)</f>
        <v>#NAME?</v>
      </c>
      <c r="Y683" s="376"/>
    </row>
    <row r="684" spans="1:25" s="59" customFormat="1" ht="31.5" customHeight="1">
      <c r="A684" s="60" t="s">
        <v>154</v>
      </c>
      <c r="B684" s="60" t="s">
        <v>155</v>
      </c>
      <c r="C684" s="196" t="s">
        <v>156</v>
      </c>
      <c r="D684" s="196" t="s">
        <v>157</v>
      </c>
      <c r="E684" s="362" t="s">
        <v>158</v>
      </c>
      <c r="F684" s="357"/>
      <c r="G684" s="357" t="s">
        <v>159</v>
      </c>
      <c r="H684" s="357"/>
      <c r="I684" s="357" t="s">
        <v>160</v>
      </c>
      <c r="J684" s="357"/>
      <c r="K684" s="357" t="s">
        <v>161</v>
      </c>
      <c r="L684" s="357"/>
      <c r="M684" s="355" t="s">
        <v>162</v>
      </c>
      <c r="N684" s="357" t="s">
        <v>163</v>
      </c>
      <c r="O684" s="357"/>
      <c r="P684" s="357" t="s">
        <v>164</v>
      </c>
      <c r="Q684" s="357"/>
      <c r="R684" s="357" t="s">
        <v>165</v>
      </c>
      <c r="S684" s="357"/>
      <c r="T684" s="357" t="s">
        <v>166</v>
      </c>
      <c r="U684" s="358"/>
      <c r="V684" s="359" t="s">
        <v>167</v>
      </c>
      <c r="W684" s="354" t="s">
        <v>168</v>
      </c>
      <c r="X684" s="360"/>
      <c r="Y684" s="361"/>
    </row>
    <row r="685" spans="1:25" s="59" customFormat="1" ht="12.75">
      <c r="A685" s="63"/>
      <c r="B685" s="63"/>
      <c r="C685" s="211"/>
      <c r="D685" s="211"/>
      <c r="G685" s="353" t="s">
        <v>169</v>
      </c>
      <c r="H685" s="353"/>
      <c r="I685" s="353" t="s">
        <v>169</v>
      </c>
      <c r="J685" s="353"/>
      <c r="K685" s="353" t="s">
        <v>169</v>
      </c>
      <c r="L685" s="353"/>
      <c r="M685" s="356"/>
      <c r="N685" s="353" t="s">
        <v>169</v>
      </c>
      <c r="O685" s="353"/>
      <c r="P685" s="353" t="s">
        <v>169</v>
      </c>
      <c r="Q685" s="353"/>
      <c r="R685" s="353" t="s">
        <v>169</v>
      </c>
      <c r="S685" s="353"/>
      <c r="T685" s="353" t="s">
        <v>169</v>
      </c>
      <c r="U685" s="354"/>
      <c r="V685" s="355"/>
      <c r="W685" s="60"/>
      <c r="X685" s="60" t="s">
        <v>170</v>
      </c>
      <c r="Y685" s="60" t="s">
        <v>171</v>
      </c>
    </row>
    <row r="686" spans="1:25" s="59" customFormat="1" ht="15.75" customHeight="1">
      <c r="A686" s="63">
        <v>1</v>
      </c>
      <c r="B686" s="119"/>
      <c r="C686" s="119"/>
      <c r="D686" s="119"/>
      <c r="E686" s="366"/>
      <c r="F686" s="367"/>
      <c r="G686" s="366"/>
      <c r="H686" s="367"/>
      <c r="I686" s="366"/>
      <c r="J686" s="367"/>
      <c r="K686" s="368"/>
      <c r="L686" s="369"/>
      <c r="M686" s="67"/>
      <c r="N686" s="366"/>
      <c r="O686" s="367"/>
      <c r="P686" s="366"/>
      <c r="Q686" s="367"/>
      <c r="R686" s="366"/>
      <c r="S686" s="367"/>
      <c r="T686" s="368"/>
      <c r="U686" s="369"/>
      <c r="V686" s="67"/>
      <c r="W686" s="68"/>
      <c r="X686" s="68"/>
      <c r="Y686" s="68"/>
    </row>
    <row r="687" spans="1:25" s="59" customFormat="1" ht="15.75" customHeight="1">
      <c r="A687" s="60">
        <v>2</v>
      </c>
      <c r="B687" s="119"/>
      <c r="C687" s="119"/>
      <c r="D687" s="119"/>
      <c r="E687" s="366"/>
      <c r="F687" s="367"/>
      <c r="G687" s="366"/>
      <c r="H687" s="367"/>
      <c r="I687" s="366"/>
      <c r="J687" s="367"/>
      <c r="K687" s="368"/>
      <c r="L687" s="369"/>
      <c r="M687" s="67"/>
      <c r="N687" s="366"/>
      <c r="O687" s="367"/>
      <c r="P687" s="366"/>
      <c r="Q687" s="367"/>
      <c r="R687" s="366"/>
      <c r="S687" s="367"/>
      <c r="T687" s="368"/>
      <c r="U687" s="369"/>
      <c r="V687" s="67"/>
      <c r="W687" s="68"/>
      <c r="X687" s="68"/>
      <c r="Y687" s="68"/>
    </row>
    <row r="688" spans="1:25" s="59" customFormat="1" ht="15.75" customHeight="1">
      <c r="A688" s="60">
        <v>3</v>
      </c>
      <c r="B688" s="119"/>
      <c r="C688" s="119"/>
      <c r="D688" s="119"/>
      <c r="E688" s="366"/>
      <c r="F688" s="367"/>
      <c r="G688" s="366"/>
      <c r="H688" s="367"/>
      <c r="I688" s="366"/>
      <c r="J688" s="367"/>
      <c r="K688" s="368"/>
      <c r="L688" s="369"/>
      <c r="M688" s="67"/>
      <c r="N688" s="366"/>
      <c r="O688" s="367"/>
      <c r="P688" s="366"/>
      <c r="Q688" s="367"/>
      <c r="R688" s="366"/>
      <c r="S688" s="367"/>
      <c r="T688" s="368"/>
      <c r="U688" s="369"/>
      <c r="V688" s="67"/>
      <c r="W688" s="68"/>
      <c r="X688" s="68"/>
      <c r="Y688" s="68"/>
    </row>
    <row r="689" spans="1:25" s="59" customFormat="1" ht="15.75" customHeight="1">
      <c r="A689" s="60">
        <v>4</v>
      </c>
      <c r="B689" s="119"/>
      <c r="C689" s="119"/>
      <c r="D689" s="119"/>
      <c r="E689" s="366"/>
      <c r="F689" s="367"/>
      <c r="G689" s="366"/>
      <c r="H689" s="367"/>
      <c r="I689" s="366"/>
      <c r="J689" s="367"/>
      <c r="K689" s="368"/>
      <c r="L689" s="369"/>
      <c r="M689" s="67"/>
      <c r="N689" s="366"/>
      <c r="O689" s="367"/>
      <c r="P689" s="366"/>
      <c r="Q689" s="367"/>
      <c r="R689" s="366"/>
      <c r="S689" s="367"/>
      <c r="T689" s="368"/>
      <c r="U689" s="369"/>
      <c r="V689" s="67"/>
      <c r="W689" s="68"/>
      <c r="X689" s="68"/>
      <c r="Y689" s="68"/>
    </row>
    <row r="690" spans="1:25" s="59" customFormat="1" ht="15.75" customHeight="1">
      <c r="A690" s="60">
        <v>5</v>
      </c>
      <c r="B690" s="119"/>
      <c r="C690" s="119"/>
      <c r="D690" s="119"/>
      <c r="E690" s="366"/>
      <c r="F690" s="367"/>
      <c r="G690" s="366"/>
      <c r="H690" s="367"/>
      <c r="I690" s="366"/>
      <c r="J690" s="367"/>
      <c r="K690" s="368"/>
      <c r="L690" s="369"/>
      <c r="M690" s="67"/>
      <c r="N690" s="366"/>
      <c r="O690" s="367"/>
      <c r="P690" s="366"/>
      <c r="Q690" s="367"/>
      <c r="R690" s="366"/>
      <c r="S690" s="367"/>
      <c r="T690" s="368"/>
      <c r="U690" s="369"/>
      <c r="V690" s="67"/>
      <c r="W690" s="68"/>
      <c r="X690" s="68"/>
      <c r="Y690" s="68"/>
    </row>
    <row r="691" spans="1:25" s="59" customFormat="1" ht="15.75" customHeight="1">
      <c r="A691" s="60">
        <v>6</v>
      </c>
      <c r="B691" s="119"/>
      <c r="C691" s="119"/>
      <c r="D691" s="119"/>
      <c r="E691" s="366"/>
      <c r="F691" s="367"/>
      <c r="G691" s="366"/>
      <c r="H691" s="367"/>
      <c r="I691" s="366"/>
      <c r="J691" s="367"/>
      <c r="K691" s="368"/>
      <c r="L691" s="369"/>
      <c r="M691" s="67"/>
      <c r="N691" s="366"/>
      <c r="O691" s="367"/>
      <c r="P691" s="366"/>
      <c r="Q691" s="367"/>
      <c r="R691" s="366"/>
      <c r="S691" s="367"/>
      <c r="T691" s="368"/>
      <c r="U691" s="369"/>
      <c r="V691" s="67"/>
      <c r="W691" s="68"/>
      <c r="X691" s="68"/>
      <c r="Y691" s="68"/>
    </row>
    <row r="692" spans="1:25" s="59" customFormat="1" ht="15.75" customHeight="1">
      <c r="A692" s="60">
        <v>7</v>
      </c>
      <c r="B692" s="119"/>
      <c r="C692" s="119"/>
      <c r="D692" s="119"/>
      <c r="E692" s="366"/>
      <c r="F692" s="367"/>
      <c r="G692" s="366"/>
      <c r="H692" s="367"/>
      <c r="I692" s="366"/>
      <c r="J692" s="367"/>
      <c r="K692" s="368"/>
      <c r="L692" s="369"/>
      <c r="M692" s="67"/>
      <c r="N692" s="366"/>
      <c r="O692" s="367"/>
      <c r="P692" s="366"/>
      <c r="Q692" s="367"/>
      <c r="R692" s="366"/>
      <c r="S692" s="367"/>
      <c r="T692" s="368"/>
      <c r="U692" s="369"/>
      <c r="V692" s="67"/>
      <c r="W692" s="68"/>
      <c r="X692" s="68"/>
      <c r="Y692" s="68"/>
    </row>
    <row r="693" spans="1:25" s="59" customFormat="1" ht="15.75" customHeight="1">
      <c r="A693" s="60">
        <v>8</v>
      </c>
      <c r="B693" s="119"/>
      <c r="C693" s="119"/>
      <c r="D693" s="119"/>
      <c r="E693" s="366"/>
      <c r="F693" s="367"/>
      <c r="G693" s="366"/>
      <c r="H693" s="367"/>
      <c r="I693" s="366"/>
      <c r="J693" s="367"/>
      <c r="K693" s="368"/>
      <c r="L693" s="369"/>
      <c r="M693" s="67"/>
      <c r="N693" s="366"/>
      <c r="O693" s="367"/>
      <c r="P693" s="366"/>
      <c r="Q693" s="367"/>
      <c r="R693" s="366"/>
      <c r="S693" s="367"/>
      <c r="T693" s="368"/>
      <c r="U693" s="369"/>
      <c r="V693" s="67"/>
      <c r="W693" s="68"/>
      <c r="X693" s="68"/>
      <c r="Y693" s="68"/>
    </row>
    <row r="694" spans="1:25" s="59" customFormat="1" ht="15.75" customHeight="1">
      <c r="A694" s="60">
        <v>9</v>
      </c>
      <c r="B694" s="119"/>
      <c r="C694" s="119"/>
      <c r="D694" s="119"/>
      <c r="E694" s="366"/>
      <c r="F694" s="367"/>
      <c r="G694" s="366"/>
      <c r="H694" s="367"/>
      <c r="I694" s="366"/>
      <c r="J694" s="367"/>
      <c r="K694" s="368"/>
      <c r="L694" s="369"/>
      <c r="M694" s="67"/>
      <c r="N694" s="366"/>
      <c r="O694" s="367"/>
      <c r="P694" s="366"/>
      <c r="Q694" s="367"/>
      <c r="R694" s="366"/>
      <c r="S694" s="367"/>
      <c r="T694" s="368"/>
      <c r="U694" s="369"/>
      <c r="V694" s="67"/>
      <c r="W694" s="68"/>
      <c r="X694" s="68"/>
      <c r="Y694" s="68"/>
    </row>
    <row r="695" spans="1:25" s="59" customFormat="1" ht="15.75" customHeight="1">
      <c r="A695" s="60">
        <v>10</v>
      </c>
      <c r="B695" s="119"/>
      <c r="C695" s="119"/>
      <c r="D695" s="119"/>
      <c r="E695" s="366"/>
      <c r="F695" s="367"/>
      <c r="G695" s="366"/>
      <c r="H695" s="367"/>
      <c r="I695" s="366"/>
      <c r="J695" s="367"/>
      <c r="K695" s="368"/>
      <c r="L695" s="369"/>
      <c r="M695" s="67"/>
      <c r="N695" s="366"/>
      <c r="O695" s="367"/>
      <c r="P695" s="366"/>
      <c r="Q695" s="367"/>
      <c r="R695" s="366"/>
      <c r="S695" s="367"/>
      <c r="T695" s="368"/>
      <c r="U695" s="369"/>
      <c r="V695" s="67"/>
      <c r="W695" s="68"/>
      <c r="X695" s="68"/>
      <c r="Y695" s="68"/>
    </row>
    <row r="696" spans="1:25" s="59" customFormat="1" ht="15.75" customHeight="1">
      <c r="A696" s="60">
        <v>11</v>
      </c>
      <c r="B696" s="119"/>
      <c r="C696" s="119"/>
      <c r="D696" s="119"/>
      <c r="E696" s="366"/>
      <c r="F696" s="367"/>
      <c r="G696" s="366"/>
      <c r="H696" s="367"/>
      <c r="I696" s="366"/>
      <c r="J696" s="367"/>
      <c r="K696" s="368"/>
      <c r="L696" s="369"/>
      <c r="M696" s="67"/>
      <c r="N696" s="366"/>
      <c r="O696" s="367"/>
      <c r="P696" s="366"/>
      <c r="Q696" s="367"/>
      <c r="R696" s="366"/>
      <c r="S696" s="367"/>
      <c r="T696" s="368"/>
      <c r="U696" s="369"/>
      <c r="V696" s="67"/>
      <c r="W696" s="68"/>
      <c r="X696" s="68"/>
      <c r="Y696" s="68"/>
    </row>
    <row r="697" spans="1:25" s="59" customFormat="1" ht="15.75" customHeight="1">
      <c r="A697" s="60">
        <v>12</v>
      </c>
      <c r="B697" s="119"/>
      <c r="C697" s="119"/>
      <c r="D697" s="119"/>
      <c r="E697" s="366"/>
      <c r="F697" s="367"/>
      <c r="G697" s="366"/>
      <c r="H697" s="367"/>
      <c r="I697" s="366"/>
      <c r="J697" s="367"/>
      <c r="K697" s="368"/>
      <c r="L697" s="369"/>
      <c r="M697" s="67"/>
      <c r="N697" s="366"/>
      <c r="O697" s="367"/>
      <c r="P697" s="366"/>
      <c r="Q697" s="367"/>
      <c r="R697" s="366"/>
      <c r="S697" s="367"/>
      <c r="T697" s="368"/>
      <c r="U697" s="369"/>
      <c r="V697" s="67"/>
      <c r="W697" s="68"/>
      <c r="X697" s="68"/>
      <c r="Y697" s="68"/>
    </row>
    <row r="698" spans="1:25" s="59" customFormat="1" ht="15.75" customHeight="1">
      <c r="A698" s="60">
        <v>13</v>
      </c>
      <c r="B698" s="119"/>
      <c r="C698" s="119"/>
      <c r="D698" s="119"/>
      <c r="E698" s="366"/>
      <c r="F698" s="367"/>
      <c r="G698" s="366"/>
      <c r="H698" s="367"/>
      <c r="I698" s="366"/>
      <c r="J698" s="367"/>
      <c r="K698" s="368"/>
      <c r="L698" s="369"/>
      <c r="M698" s="67"/>
      <c r="N698" s="366"/>
      <c r="O698" s="367"/>
      <c r="P698" s="366"/>
      <c r="Q698" s="367"/>
      <c r="R698" s="366"/>
      <c r="S698" s="367"/>
      <c r="T698" s="368"/>
      <c r="U698" s="369"/>
      <c r="V698" s="67"/>
      <c r="W698" s="68"/>
      <c r="X698" s="68"/>
      <c r="Y698" s="68"/>
    </row>
    <row r="699" spans="1:25" s="59" customFormat="1" ht="15.75" customHeight="1">
      <c r="A699" s="60">
        <v>14</v>
      </c>
      <c r="B699" s="119"/>
      <c r="C699" s="119"/>
      <c r="D699" s="119"/>
      <c r="E699" s="366"/>
      <c r="F699" s="367"/>
      <c r="G699" s="366"/>
      <c r="H699" s="367"/>
      <c r="I699" s="366"/>
      <c r="J699" s="367"/>
      <c r="K699" s="368"/>
      <c r="L699" s="369"/>
      <c r="M699" s="67"/>
      <c r="N699" s="366"/>
      <c r="O699" s="367"/>
      <c r="P699" s="366"/>
      <c r="Q699" s="367"/>
      <c r="R699" s="366"/>
      <c r="S699" s="367"/>
      <c r="T699" s="368"/>
      <c r="U699" s="369"/>
      <c r="V699" s="67"/>
      <c r="W699" s="68"/>
      <c r="X699" s="68"/>
      <c r="Y699" s="68"/>
    </row>
    <row r="700" spans="1:25" s="59" customFormat="1" ht="15.75" customHeight="1">
      <c r="A700" s="60">
        <v>15</v>
      </c>
      <c r="B700" s="119"/>
      <c r="C700" s="119"/>
      <c r="D700" s="119"/>
      <c r="E700" s="366"/>
      <c r="F700" s="367"/>
      <c r="G700" s="366"/>
      <c r="H700" s="367"/>
      <c r="I700" s="366"/>
      <c r="J700" s="367"/>
      <c r="K700" s="368"/>
      <c r="L700" s="369"/>
      <c r="M700" s="67"/>
      <c r="N700" s="366"/>
      <c r="O700" s="367"/>
      <c r="P700" s="366"/>
      <c r="Q700" s="367"/>
      <c r="R700" s="366"/>
      <c r="S700" s="367"/>
      <c r="T700" s="368"/>
      <c r="U700" s="369"/>
      <c r="V700" s="67"/>
      <c r="W700" s="68"/>
      <c r="X700" s="68"/>
      <c r="Y700" s="68"/>
    </row>
    <row r="701" spans="1:25" s="59" customFormat="1" ht="15.75" customHeight="1">
      <c r="A701" s="60">
        <v>16</v>
      </c>
      <c r="B701" s="119"/>
      <c r="C701" s="119"/>
      <c r="D701" s="119"/>
      <c r="E701" s="366"/>
      <c r="F701" s="367"/>
      <c r="G701" s="366"/>
      <c r="H701" s="367"/>
      <c r="I701" s="366"/>
      <c r="J701" s="367"/>
      <c r="K701" s="368"/>
      <c r="L701" s="369"/>
      <c r="M701" s="67"/>
      <c r="N701" s="366"/>
      <c r="O701" s="367"/>
      <c r="P701" s="366"/>
      <c r="Q701" s="367"/>
      <c r="R701" s="366"/>
      <c r="S701" s="367"/>
      <c r="T701" s="368"/>
      <c r="U701" s="369"/>
      <c r="V701" s="67"/>
      <c r="W701" s="68"/>
      <c r="X701" s="68"/>
      <c r="Y701" s="68"/>
    </row>
    <row r="702" spans="1:4" s="59" customFormat="1" ht="12.75">
      <c r="A702" s="69"/>
      <c r="C702" s="70"/>
      <c r="D702" s="70"/>
    </row>
    <row r="703" spans="1:25" s="59" customFormat="1" ht="12.75">
      <c r="A703" s="341" t="s">
        <v>172</v>
      </c>
      <c r="B703" s="344"/>
      <c r="C703" s="344"/>
      <c r="D703" s="344"/>
      <c r="E703" s="344"/>
      <c r="F703" s="342"/>
      <c r="G703" s="341" t="s">
        <v>172</v>
      </c>
      <c r="H703" s="396"/>
      <c r="I703" s="396"/>
      <c r="J703" s="396"/>
      <c r="K703" s="396"/>
      <c r="L703" s="396"/>
      <c r="M703" s="396"/>
      <c r="N703" s="396"/>
      <c r="O703" s="396"/>
      <c r="P703" s="396"/>
      <c r="Q703" s="396"/>
      <c r="R703" s="397"/>
      <c r="S703" s="354" t="s">
        <v>173</v>
      </c>
      <c r="T703" s="360"/>
      <c r="U703" s="360"/>
      <c r="V703" s="360"/>
      <c r="W703" s="360"/>
      <c r="X703" s="360"/>
      <c r="Y703" s="361"/>
    </row>
    <row r="704" spans="1:25" s="59" customFormat="1" ht="12.75">
      <c r="A704" s="60" t="s">
        <v>0</v>
      </c>
      <c r="B704" s="60" t="s">
        <v>174</v>
      </c>
      <c r="C704" s="60" t="s">
        <v>156</v>
      </c>
      <c r="D704" s="60" t="s">
        <v>157</v>
      </c>
      <c r="E704" s="353" t="s">
        <v>175</v>
      </c>
      <c r="F704" s="353"/>
      <c r="G704" s="63" t="s">
        <v>0</v>
      </c>
      <c r="H704" s="64" t="s">
        <v>174</v>
      </c>
      <c r="I704" s="354" t="s">
        <v>156</v>
      </c>
      <c r="J704" s="360"/>
      <c r="K704" s="360"/>
      <c r="L704" s="361"/>
      <c r="M704" s="391" t="s">
        <v>157</v>
      </c>
      <c r="N704" s="392"/>
      <c r="O704" s="392"/>
      <c r="P704" s="393"/>
      <c r="Q704" s="354" t="s">
        <v>175</v>
      </c>
      <c r="R704" s="361"/>
      <c r="S704" s="72"/>
      <c r="T704" s="73"/>
      <c r="U704" s="73"/>
      <c r="V704" s="57"/>
      <c r="W704" s="57"/>
      <c r="X704" s="57"/>
      <c r="Y704" s="58"/>
    </row>
    <row r="705" spans="1:25" s="59" customFormat="1" ht="15.75" customHeight="1">
      <c r="A705" s="60">
        <v>1</v>
      </c>
      <c r="B705" s="71"/>
      <c r="C705" s="74"/>
      <c r="D705" s="74"/>
      <c r="E705" s="384"/>
      <c r="F705" s="385"/>
      <c r="G705" s="75">
        <v>9</v>
      </c>
      <c r="H705" s="71"/>
      <c r="I705" s="386"/>
      <c r="J705" s="387"/>
      <c r="K705" s="387"/>
      <c r="L705" s="388"/>
      <c r="M705" s="386"/>
      <c r="N705" s="387"/>
      <c r="O705" s="387"/>
      <c r="P705" s="388"/>
      <c r="Q705" s="384"/>
      <c r="R705" s="385"/>
      <c r="S705" s="76"/>
      <c r="T705" s="77"/>
      <c r="U705" s="77"/>
      <c r="V705" s="78"/>
      <c r="W705" s="78"/>
      <c r="X705" s="78"/>
      <c r="Y705" s="79"/>
    </row>
    <row r="706" spans="1:25" s="59" customFormat="1" ht="15.75" customHeight="1">
      <c r="A706" s="60">
        <v>2</v>
      </c>
      <c r="B706" s="71"/>
      <c r="C706" s="74"/>
      <c r="D706" s="74"/>
      <c r="E706" s="384"/>
      <c r="F706" s="385"/>
      <c r="G706" s="75">
        <v>10</v>
      </c>
      <c r="H706" s="71"/>
      <c r="I706" s="386"/>
      <c r="J706" s="387"/>
      <c r="K706" s="387"/>
      <c r="L706" s="388"/>
      <c r="M706" s="386"/>
      <c r="N706" s="387"/>
      <c r="O706" s="387"/>
      <c r="P706" s="388"/>
      <c r="Q706" s="389"/>
      <c r="R706" s="390"/>
      <c r="S706" s="72"/>
      <c r="T706" s="73"/>
      <c r="U706" s="73"/>
      <c r="V706" s="57"/>
      <c r="W706" s="57"/>
      <c r="X706" s="57"/>
      <c r="Y706" s="58"/>
    </row>
    <row r="707" spans="1:25" s="59" customFormat="1" ht="15.75" customHeight="1">
      <c r="A707" s="60">
        <v>3</v>
      </c>
      <c r="B707" s="71"/>
      <c r="C707" s="74"/>
      <c r="D707" s="74"/>
      <c r="E707" s="384"/>
      <c r="F707" s="385"/>
      <c r="G707" s="75">
        <v>11</v>
      </c>
      <c r="H707" s="71"/>
      <c r="I707" s="386"/>
      <c r="J707" s="387"/>
      <c r="K707" s="387"/>
      <c r="L707" s="388"/>
      <c r="M707" s="386"/>
      <c r="N707" s="387"/>
      <c r="O707" s="387"/>
      <c r="P707" s="388"/>
      <c r="Q707" s="389"/>
      <c r="R707" s="390"/>
      <c r="S707" s="76"/>
      <c r="T707" s="77"/>
      <c r="U707" s="77"/>
      <c r="V707" s="78"/>
      <c r="W707" s="78"/>
      <c r="X707" s="78"/>
      <c r="Y707" s="79"/>
    </row>
    <row r="708" spans="1:25" s="59" customFormat="1" ht="15.75" customHeight="1">
      <c r="A708" s="60">
        <v>4</v>
      </c>
      <c r="B708" s="71"/>
      <c r="C708" s="74"/>
      <c r="D708" s="74"/>
      <c r="E708" s="384"/>
      <c r="F708" s="385"/>
      <c r="G708" s="75">
        <v>12</v>
      </c>
      <c r="H708" s="71"/>
      <c r="I708" s="386"/>
      <c r="J708" s="387"/>
      <c r="K708" s="387"/>
      <c r="L708" s="388"/>
      <c r="M708" s="386"/>
      <c r="N708" s="387"/>
      <c r="O708" s="387"/>
      <c r="P708" s="388"/>
      <c r="Q708" s="389"/>
      <c r="R708" s="390"/>
      <c r="S708" s="72"/>
      <c r="T708" s="73"/>
      <c r="U708" s="73"/>
      <c r="V708" s="57"/>
      <c r="W708" s="57"/>
      <c r="X708" s="57"/>
      <c r="Y708" s="58"/>
    </row>
    <row r="709" spans="1:25" s="59" customFormat="1" ht="15.75" customHeight="1">
      <c r="A709" s="60">
        <v>5</v>
      </c>
      <c r="B709" s="71"/>
      <c r="C709" s="74"/>
      <c r="D709" s="74"/>
      <c r="E709" s="384"/>
      <c r="F709" s="385"/>
      <c r="G709" s="75">
        <v>13</v>
      </c>
      <c r="H709" s="71"/>
      <c r="I709" s="386"/>
      <c r="J709" s="387"/>
      <c r="K709" s="387"/>
      <c r="L709" s="388"/>
      <c r="M709" s="386"/>
      <c r="N709" s="387"/>
      <c r="O709" s="387"/>
      <c r="P709" s="388"/>
      <c r="Q709" s="389"/>
      <c r="R709" s="390"/>
      <c r="S709" s="76"/>
      <c r="T709" s="77"/>
      <c r="U709" s="77"/>
      <c r="V709" s="78"/>
      <c r="W709" s="78"/>
      <c r="X709" s="78"/>
      <c r="Y709" s="79"/>
    </row>
    <row r="710" spans="1:25" s="59" customFormat="1" ht="15.75" customHeight="1">
      <c r="A710" s="60">
        <v>6</v>
      </c>
      <c r="B710" s="71"/>
      <c r="C710" s="74"/>
      <c r="D710" s="74"/>
      <c r="E710" s="384"/>
      <c r="F710" s="385"/>
      <c r="G710" s="75">
        <v>14</v>
      </c>
      <c r="H710" s="71"/>
      <c r="I710" s="386"/>
      <c r="J710" s="387"/>
      <c r="K710" s="387"/>
      <c r="L710" s="388"/>
      <c r="M710" s="386"/>
      <c r="N710" s="387"/>
      <c r="O710" s="387"/>
      <c r="P710" s="388"/>
      <c r="Q710" s="389"/>
      <c r="R710" s="390"/>
      <c r="S710" s="354" t="s">
        <v>176</v>
      </c>
      <c r="T710" s="360"/>
      <c r="U710" s="360"/>
      <c r="V710" s="360"/>
      <c r="W710" s="360"/>
      <c r="X710" s="360"/>
      <c r="Y710" s="361"/>
    </row>
    <row r="711" spans="1:25" s="59" customFormat="1" ht="15.75" customHeight="1">
      <c r="A711" s="60">
        <v>7</v>
      </c>
      <c r="B711" s="71"/>
      <c r="C711" s="74"/>
      <c r="D711" s="74"/>
      <c r="E711" s="384"/>
      <c r="F711" s="385"/>
      <c r="G711" s="75">
        <v>15</v>
      </c>
      <c r="H711" s="71"/>
      <c r="I711" s="386"/>
      <c r="J711" s="387"/>
      <c r="K711" s="387"/>
      <c r="L711" s="388"/>
      <c r="M711" s="386"/>
      <c r="N711" s="387"/>
      <c r="O711" s="387"/>
      <c r="P711" s="388"/>
      <c r="Q711" s="389"/>
      <c r="R711" s="390"/>
      <c r="S711" s="72"/>
      <c r="T711" s="73"/>
      <c r="U711" s="73"/>
      <c r="V711" s="57"/>
      <c r="W711" s="57"/>
      <c r="X711" s="57"/>
      <c r="Y711" s="58"/>
    </row>
    <row r="712" spans="1:25" s="59" customFormat="1" ht="15.75" customHeight="1">
      <c r="A712" s="60">
        <v>8</v>
      </c>
      <c r="B712" s="71"/>
      <c r="C712" s="74"/>
      <c r="D712" s="74"/>
      <c r="E712" s="384"/>
      <c r="F712" s="385"/>
      <c r="G712" s="75">
        <v>16</v>
      </c>
      <c r="H712" s="71"/>
      <c r="I712" s="386"/>
      <c r="J712" s="387"/>
      <c r="K712" s="387"/>
      <c r="L712" s="388"/>
      <c r="M712" s="386"/>
      <c r="N712" s="387"/>
      <c r="O712" s="387"/>
      <c r="P712" s="388"/>
      <c r="Q712" s="389"/>
      <c r="R712" s="390"/>
      <c r="S712" s="76"/>
      <c r="T712" s="77"/>
      <c r="U712" s="77"/>
      <c r="V712" s="78"/>
      <c r="W712" s="78"/>
      <c r="X712" s="78"/>
      <c r="Y712" s="79"/>
    </row>
  </sheetData>
  <sheetProtection/>
  <mergeCells count="3668">
    <mergeCell ref="E31:F31"/>
    <mergeCell ref="E32:F32"/>
    <mergeCell ref="E84:F84"/>
    <mergeCell ref="G84:H84"/>
    <mergeCell ref="I84:J84"/>
    <mergeCell ref="K84:L84"/>
    <mergeCell ref="N84:O84"/>
    <mergeCell ref="T84:U84"/>
    <mergeCell ref="R84:S84"/>
    <mergeCell ref="P84:Q84"/>
    <mergeCell ref="E258:F258"/>
    <mergeCell ref="E254:F254"/>
    <mergeCell ref="G254:H254"/>
    <mergeCell ref="I254:J254"/>
    <mergeCell ref="K254:L254"/>
    <mergeCell ref="N254:O254"/>
    <mergeCell ref="P254:Q254"/>
    <mergeCell ref="R254:S254"/>
    <mergeCell ref="T254:U254"/>
    <mergeCell ref="E131:F131"/>
    <mergeCell ref="D38:F38"/>
    <mergeCell ref="D52:F52"/>
    <mergeCell ref="D73:F73"/>
    <mergeCell ref="D209:F209"/>
    <mergeCell ref="D243:F243"/>
    <mergeCell ref="N258:O258"/>
    <mergeCell ref="P258:Q258"/>
    <mergeCell ref="R258:S258"/>
    <mergeCell ref="T258:U258"/>
    <mergeCell ref="G258:H258"/>
    <mergeCell ref="I258:J258"/>
    <mergeCell ref="K258:L258"/>
    <mergeCell ref="E493:F493"/>
    <mergeCell ref="D627:F627"/>
    <mergeCell ref="E82:F82"/>
    <mergeCell ref="N625:O625"/>
    <mergeCell ref="P625:Q625"/>
    <mergeCell ref="N701:O701"/>
    <mergeCell ref="P701:Q701"/>
    <mergeCell ref="R701:S701"/>
    <mergeCell ref="T701:U701"/>
    <mergeCell ref="E701:F701"/>
    <mergeCell ref="G701:H701"/>
    <mergeCell ref="I701:J701"/>
    <mergeCell ref="K701:L701"/>
    <mergeCell ref="N700:O700"/>
    <mergeCell ref="D85:F85"/>
    <mergeCell ref="D290:F290"/>
    <mergeCell ref="E289:F289"/>
    <mergeCell ref="D391:F391"/>
    <mergeCell ref="D494:F494"/>
    <mergeCell ref="E626:F626"/>
    <mergeCell ref="D107:F107"/>
    <mergeCell ref="D141:F141"/>
    <mergeCell ref="D175:F175"/>
    <mergeCell ref="E700:F700"/>
    <mergeCell ref="G700:H700"/>
    <mergeCell ref="I700:J700"/>
    <mergeCell ref="K700:L700"/>
    <mergeCell ref="N699:O699"/>
    <mergeCell ref="P699:Q699"/>
    <mergeCell ref="R699:S699"/>
    <mergeCell ref="T699:U699"/>
    <mergeCell ref="E699:F699"/>
    <mergeCell ref="S710:Y710"/>
    <mergeCell ref="E711:F711"/>
    <mergeCell ref="I711:L711"/>
    <mergeCell ref="M711:P711"/>
    <mergeCell ref="Q711:R711"/>
    <mergeCell ref="E710:F710"/>
    <mergeCell ref="I710:L710"/>
    <mergeCell ref="M710:P710"/>
    <mergeCell ref="Q710:R710"/>
    <mergeCell ref="E709:F709"/>
    <mergeCell ref="I709:L709"/>
    <mergeCell ref="M709:P709"/>
    <mergeCell ref="Q709:R709"/>
    <mergeCell ref="A703:F703"/>
    <mergeCell ref="G703:R703"/>
    <mergeCell ref="S703:Y703"/>
    <mergeCell ref="E704:F704"/>
    <mergeCell ref="I704:L704"/>
    <mergeCell ref="M704:P704"/>
    <mergeCell ref="Q704:R704"/>
    <mergeCell ref="E712:F712"/>
    <mergeCell ref="I712:L712"/>
    <mergeCell ref="M712:P712"/>
    <mergeCell ref="Q712:R712"/>
    <mergeCell ref="E708:F708"/>
    <mergeCell ref="I708:L708"/>
    <mergeCell ref="M708:P708"/>
    <mergeCell ref="Q708:R708"/>
    <mergeCell ref="E707:F707"/>
    <mergeCell ref="I707:L707"/>
    <mergeCell ref="M707:P707"/>
    <mergeCell ref="Q707:R707"/>
    <mergeCell ref="E706:F706"/>
    <mergeCell ref="I706:L706"/>
    <mergeCell ref="M706:P706"/>
    <mergeCell ref="Q706:R706"/>
    <mergeCell ref="E705:F705"/>
    <mergeCell ref="I705:L705"/>
    <mergeCell ref="M705:P705"/>
    <mergeCell ref="Q705:R705"/>
    <mergeCell ref="G699:H699"/>
    <mergeCell ref="I699:J699"/>
    <mergeCell ref="K699:L699"/>
    <mergeCell ref="N698:O698"/>
    <mergeCell ref="P698:Q698"/>
    <mergeCell ref="R698:S698"/>
    <mergeCell ref="T698:U698"/>
    <mergeCell ref="E698:F698"/>
    <mergeCell ref="G698:H698"/>
    <mergeCell ref="I698:J698"/>
    <mergeCell ref="K698:L698"/>
    <mergeCell ref="P700:Q700"/>
    <mergeCell ref="R700:S700"/>
    <mergeCell ref="T700:U700"/>
    <mergeCell ref="N697:O697"/>
    <mergeCell ref="P697:Q697"/>
    <mergeCell ref="R697:S697"/>
    <mergeCell ref="T697:U697"/>
    <mergeCell ref="E697:F697"/>
    <mergeCell ref="G697:H697"/>
    <mergeCell ref="I697:J697"/>
    <mergeCell ref="K697:L697"/>
    <mergeCell ref="N696:O696"/>
    <mergeCell ref="P696:Q696"/>
    <mergeCell ref="R696:S696"/>
    <mergeCell ref="T696:U696"/>
    <mergeCell ref="E696:F696"/>
    <mergeCell ref="G696:H696"/>
    <mergeCell ref="I696:J696"/>
    <mergeCell ref="K696:L696"/>
    <mergeCell ref="N695:O695"/>
    <mergeCell ref="P695:Q695"/>
    <mergeCell ref="R695:S695"/>
    <mergeCell ref="T695:U695"/>
    <mergeCell ref="E695:F695"/>
    <mergeCell ref="G695:H695"/>
    <mergeCell ref="I695:J695"/>
    <mergeCell ref="K695:L695"/>
    <mergeCell ref="N694:O694"/>
    <mergeCell ref="P694:Q694"/>
    <mergeCell ref="R694:S694"/>
    <mergeCell ref="T694:U694"/>
    <mergeCell ref="E694:F694"/>
    <mergeCell ref="G694:H694"/>
    <mergeCell ref="I694:J694"/>
    <mergeCell ref="K694:L694"/>
    <mergeCell ref="N693:O693"/>
    <mergeCell ref="P693:Q693"/>
    <mergeCell ref="R693:S693"/>
    <mergeCell ref="T693:U693"/>
    <mergeCell ref="E693:F693"/>
    <mergeCell ref="G693:H693"/>
    <mergeCell ref="I693:J693"/>
    <mergeCell ref="K693:L693"/>
    <mergeCell ref="N692:O692"/>
    <mergeCell ref="P692:Q692"/>
    <mergeCell ref="R692:S692"/>
    <mergeCell ref="T692:U692"/>
    <mergeCell ref="E692:F692"/>
    <mergeCell ref="G692:H692"/>
    <mergeCell ref="I692:J692"/>
    <mergeCell ref="K692:L692"/>
    <mergeCell ref="K686:L686"/>
    <mergeCell ref="N686:O686"/>
    <mergeCell ref="P686:Q686"/>
    <mergeCell ref="R686:S686"/>
    <mergeCell ref="T686:U686"/>
    <mergeCell ref="N691:O691"/>
    <mergeCell ref="P691:Q691"/>
    <mergeCell ref="R691:S691"/>
    <mergeCell ref="T691:U691"/>
    <mergeCell ref="E691:F691"/>
    <mergeCell ref="G691:H691"/>
    <mergeCell ref="I691:J691"/>
    <mergeCell ref="K691:L691"/>
    <mergeCell ref="N690:O690"/>
    <mergeCell ref="P690:Q690"/>
    <mergeCell ref="R690:S690"/>
    <mergeCell ref="T690:U690"/>
    <mergeCell ref="E690:F690"/>
    <mergeCell ref="G690:H690"/>
    <mergeCell ref="I690:J690"/>
    <mergeCell ref="K690:L690"/>
    <mergeCell ref="N689:O689"/>
    <mergeCell ref="P689:Q689"/>
    <mergeCell ref="R689:S689"/>
    <mergeCell ref="T689:U689"/>
    <mergeCell ref="E689:F689"/>
    <mergeCell ref="G689:H689"/>
    <mergeCell ref="I689:J689"/>
    <mergeCell ref="K689:L689"/>
    <mergeCell ref="E675:F675"/>
    <mergeCell ref="I675:L675"/>
    <mergeCell ref="M675:P675"/>
    <mergeCell ref="Q675:R675"/>
    <mergeCell ref="E674:F674"/>
    <mergeCell ref="I674:L674"/>
    <mergeCell ref="M674:P674"/>
    <mergeCell ref="Q674:R674"/>
    <mergeCell ref="E673:F673"/>
    <mergeCell ref="I673:L673"/>
    <mergeCell ref="M673:P673"/>
    <mergeCell ref="Q673:R673"/>
    <mergeCell ref="N688:O688"/>
    <mergeCell ref="P688:Q688"/>
    <mergeCell ref="R688:S688"/>
    <mergeCell ref="T688:U688"/>
    <mergeCell ref="E688:F688"/>
    <mergeCell ref="G688:H688"/>
    <mergeCell ref="I688:J688"/>
    <mergeCell ref="K688:L688"/>
    <mergeCell ref="N687:O687"/>
    <mergeCell ref="P687:Q687"/>
    <mergeCell ref="R687:S687"/>
    <mergeCell ref="T687:U687"/>
    <mergeCell ref="E687:F687"/>
    <mergeCell ref="G687:H687"/>
    <mergeCell ref="I687:J687"/>
    <mergeCell ref="K687:L687"/>
    <mergeCell ref="T685:U685"/>
    <mergeCell ref="E686:F686"/>
    <mergeCell ref="G686:H686"/>
    <mergeCell ref="I686:J686"/>
    <mergeCell ref="V684:V685"/>
    <mergeCell ref="W684:Y684"/>
    <mergeCell ref="G685:H685"/>
    <mergeCell ref="I685:J685"/>
    <mergeCell ref="K685:L685"/>
    <mergeCell ref="N685:O685"/>
    <mergeCell ref="P685:Q685"/>
    <mergeCell ref="R685:S685"/>
    <mergeCell ref="N684:O684"/>
    <mergeCell ref="P684:Q684"/>
    <mergeCell ref="R684:S684"/>
    <mergeCell ref="E684:F684"/>
    <mergeCell ref="G684:H684"/>
    <mergeCell ref="I684:J684"/>
    <mergeCell ref="K684:L684"/>
    <mergeCell ref="J683:L683"/>
    <mergeCell ref="M683:O683"/>
    <mergeCell ref="P683:Q683"/>
    <mergeCell ref="R683:Y683"/>
    <mergeCell ref="M684:M685"/>
    <mergeCell ref="T684:U684"/>
    <mergeCell ref="A683:B683"/>
    <mergeCell ref="C683:D683"/>
    <mergeCell ref="E683:G683"/>
    <mergeCell ref="H683:I683"/>
    <mergeCell ref="A681:Y681"/>
    <mergeCell ref="A682:B682"/>
    <mergeCell ref="C682:D682"/>
    <mergeCell ref="E682:G682"/>
    <mergeCell ref="H682:L682"/>
    <mergeCell ref="M682:O682"/>
    <mergeCell ref="P682:Y682"/>
    <mergeCell ref="S676:Y676"/>
    <mergeCell ref="E677:F677"/>
    <mergeCell ref="I677:L677"/>
    <mergeCell ref="M677:P677"/>
    <mergeCell ref="Q677:R677"/>
    <mergeCell ref="E676:F676"/>
    <mergeCell ref="I676:L676"/>
    <mergeCell ref="M676:P676"/>
    <mergeCell ref="Q676:R676"/>
    <mergeCell ref="E678:F678"/>
    <mergeCell ref="I678:L678"/>
    <mergeCell ref="M678:P678"/>
    <mergeCell ref="Q678:R678"/>
    <mergeCell ref="E672:F672"/>
    <mergeCell ref="I672:L672"/>
    <mergeCell ref="M672:P672"/>
    <mergeCell ref="Q672:R672"/>
    <mergeCell ref="E671:F671"/>
    <mergeCell ref="I671:L671"/>
    <mergeCell ref="M671:P671"/>
    <mergeCell ref="Q671:R671"/>
    <mergeCell ref="A669:F669"/>
    <mergeCell ref="G669:R669"/>
    <mergeCell ref="S669:Y669"/>
    <mergeCell ref="E670:F670"/>
    <mergeCell ref="I670:L670"/>
    <mergeCell ref="M670:P670"/>
    <mergeCell ref="Q670:R670"/>
    <mergeCell ref="N667:O667"/>
    <mergeCell ref="P667:Q667"/>
    <mergeCell ref="R667:S667"/>
    <mergeCell ref="T667:U667"/>
    <mergeCell ref="E667:F667"/>
    <mergeCell ref="G667:H667"/>
    <mergeCell ref="I667:J667"/>
    <mergeCell ref="K667:L667"/>
    <mergeCell ref="N666:O666"/>
    <mergeCell ref="P666:Q666"/>
    <mergeCell ref="R666:S666"/>
    <mergeCell ref="T666:U666"/>
    <mergeCell ref="E666:F666"/>
    <mergeCell ref="G666:H666"/>
    <mergeCell ref="I666:J666"/>
    <mergeCell ref="K666:L666"/>
    <mergeCell ref="N665:O665"/>
    <mergeCell ref="P665:Q665"/>
    <mergeCell ref="R665:S665"/>
    <mergeCell ref="T665:U665"/>
    <mergeCell ref="E665:F665"/>
    <mergeCell ref="G665:H665"/>
    <mergeCell ref="I665:J665"/>
    <mergeCell ref="K665:L665"/>
    <mergeCell ref="N664:O664"/>
    <mergeCell ref="P664:Q664"/>
    <mergeCell ref="R664:S664"/>
    <mergeCell ref="T664:U664"/>
    <mergeCell ref="G664:H664"/>
    <mergeCell ref="I664:J664"/>
    <mergeCell ref="K664:L664"/>
    <mergeCell ref="N663:O663"/>
    <mergeCell ref="P663:Q663"/>
    <mergeCell ref="R663:S663"/>
    <mergeCell ref="T663:U663"/>
    <mergeCell ref="E663:F663"/>
    <mergeCell ref="G663:H663"/>
    <mergeCell ref="I663:J663"/>
    <mergeCell ref="K663:L663"/>
    <mergeCell ref="D664:F664"/>
    <mergeCell ref="N659:O659"/>
    <mergeCell ref="P659:Q659"/>
    <mergeCell ref="R659:S659"/>
    <mergeCell ref="T659:U659"/>
    <mergeCell ref="E659:F659"/>
    <mergeCell ref="G659:H659"/>
    <mergeCell ref="I659:J659"/>
    <mergeCell ref="K659:L659"/>
    <mergeCell ref="N658:O658"/>
    <mergeCell ref="P658:Q658"/>
    <mergeCell ref="R658:S658"/>
    <mergeCell ref="T658:U658"/>
    <mergeCell ref="E658:F658"/>
    <mergeCell ref="G658:H658"/>
    <mergeCell ref="I658:J658"/>
    <mergeCell ref="K658:L658"/>
    <mergeCell ref="N657:O657"/>
    <mergeCell ref="P657:Q657"/>
    <mergeCell ref="R657:S657"/>
    <mergeCell ref="T657:U657"/>
    <mergeCell ref="E657:F657"/>
    <mergeCell ref="G657:H657"/>
    <mergeCell ref="I657:J657"/>
    <mergeCell ref="K657:L657"/>
    <mergeCell ref="N656:O656"/>
    <mergeCell ref="P656:Q656"/>
    <mergeCell ref="R656:S656"/>
    <mergeCell ref="T656:U656"/>
    <mergeCell ref="E656:F656"/>
    <mergeCell ref="G656:H656"/>
    <mergeCell ref="I656:J656"/>
    <mergeCell ref="K656:L656"/>
    <mergeCell ref="N655:O655"/>
    <mergeCell ref="P655:Q655"/>
    <mergeCell ref="R655:S655"/>
    <mergeCell ref="T655:U655"/>
    <mergeCell ref="E655:F655"/>
    <mergeCell ref="G655:H655"/>
    <mergeCell ref="I655:J655"/>
    <mergeCell ref="K655:L655"/>
    <mergeCell ref="N654:O654"/>
    <mergeCell ref="P654:Q654"/>
    <mergeCell ref="R654:S654"/>
    <mergeCell ref="T654:U654"/>
    <mergeCell ref="E654:F654"/>
    <mergeCell ref="G654:H654"/>
    <mergeCell ref="I654:J654"/>
    <mergeCell ref="K654:L654"/>
    <mergeCell ref="N653:O653"/>
    <mergeCell ref="P653:Q653"/>
    <mergeCell ref="R653:S653"/>
    <mergeCell ref="T653:U653"/>
    <mergeCell ref="E653:F653"/>
    <mergeCell ref="G653:H653"/>
    <mergeCell ref="I653:J653"/>
    <mergeCell ref="K653:L653"/>
    <mergeCell ref="N652:O652"/>
    <mergeCell ref="P652:Q652"/>
    <mergeCell ref="R652:S652"/>
    <mergeCell ref="T652:U652"/>
    <mergeCell ref="E652:F652"/>
    <mergeCell ref="G652:H652"/>
    <mergeCell ref="I652:J652"/>
    <mergeCell ref="K652:L652"/>
    <mergeCell ref="T650:U650"/>
    <mergeCell ref="E651:F651"/>
    <mergeCell ref="G651:H651"/>
    <mergeCell ref="I651:J651"/>
    <mergeCell ref="K651:L651"/>
    <mergeCell ref="N651:O651"/>
    <mergeCell ref="P651:Q651"/>
    <mergeCell ref="R651:S651"/>
    <mergeCell ref="T651:U651"/>
    <mergeCell ref="M649:M650"/>
    <mergeCell ref="T649:U649"/>
    <mergeCell ref="D650:F650"/>
    <mergeCell ref="V649:V650"/>
    <mergeCell ref="W649:Y649"/>
    <mergeCell ref="G650:H650"/>
    <mergeCell ref="I650:J650"/>
    <mergeCell ref="K650:L650"/>
    <mergeCell ref="N650:O650"/>
    <mergeCell ref="P650:Q650"/>
    <mergeCell ref="R650:S650"/>
    <mergeCell ref="N649:O649"/>
    <mergeCell ref="P649:Q649"/>
    <mergeCell ref="R649:S649"/>
    <mergeCell ref="E649:F649"/>
    <mergeCell ref="G649:H649"/>
    <mergeCell ref="I649:J649"/>
    <mergeCell ref="K649:L649"/>
    <mergeCell ref="J648:L648"/>
    <mergeCell ref="M648:O648"/>
    <mergeCell ref="P648:Q648"/>
    <mergeCell ref="R648:Y648"/>
    <mergeCell ref="A648:B648"/>
    <mergeCell ref="C648:D648"/>
    <mergeCell ref="E648:G648"/>
    <mergeCell ref="H648:I648"/>
    <mergeCell ref="A646:Y646"/>
    <mergeCell ref="A647:B647"/>
    <mergeCell ref="C647:D647"/>
    <mergeCell ref="E647:G647"/>
    <mergeCell ref="H647:L647"/>
    <mergeCell ref="M647:O647"/>
    <mergeCell ref="P647:Y647"/>
    <mergeCell ref="S641:Y641"/>
    <mergeCell ref="E642:F642"/>
    <mergeCell ref="I642:L642"/>
    <mergeCell ref="M642:P642"/>
    <mergeCell ref="Q642:R642"/>
    <mergeCell ref="E641:F641"/>
    <mergeCell ref="I641:L641"/>
    <mergeCell ref="M641:P641"/>
    <mergeCell ref="Q641:R641"/>
    <mergeCell ref="E640:F640"/>
    <mergeCell ref="I640:L640"/>
    <mergeCell ref="M640:P640"/>
    <mergeCell ref="Q640:R640"/>
    <mergeCell ref="E643:F643"/>
    <mergeCell ref="I643:L643"/>
    <mergeCell ref="M643:P643"/>
    <mergeCell ref="Q643:R643"/>
    <mergeCell ref="E639:F639"/>
    <mergeCell ref="I639:L639"/>
    <mergeCell ref="M639:P639"/>
    <mergeCell ref="Q639:R639"/>
    <mergeCell ref="E638:F638"/>
    <mergeCell ref="I638:L638"/>
    <mergeCell ref="M638:P638"/>
    <mergeCell ref="Q638:R638"/>
    <mergeCell ref="E637:F637"/>
    <mergeCell ref="I637:L637"/>
    <mergeCell ref="M637:P637"/>
    <mergeCell ref="Q637:R637"/>
    <mergeCell ref="E636:F636"/>
    <mergeCell ref="I636:L636"/>
    <mergeCell ref="M636:P636"/>
    <mergeCell ref="Q636:R636"/>
    <mergeCell ref="A634:F634"/>
    <mergeCell ref="G634:R634"/>
    <mergeCell ref="S634:Y634"/>
    <mergeCell ref="E635:F635"/>
    <mergeCell ref="I635:L635"/>
    <mergeCell ref="M635:P635"/>
    <mergeCell ref="Q635:R635"/>
    <mergeCell ref="N632:O632"/>
    <mergeCell ref="P632:Q632"/>
    <mergeCell ref="R632:S632"/>
    <mergeCell ref="T632:U632"/>
    <mergeCell ref="E632:F632"/>
    <mergeCell ref="G632:H632"/>
    <mergeCell ref="I632:J632"/>
    <mergeCell ref="K632:L632"/>
    <mergeCell ref="N631:O631"/>
    <mergeCell ref="P631:Q631"/>
    <mergeCell ref="R631:S631"/>
    <mergeCell ref="T631:U631"/>
    <mergeCell ref="E631:F631"/>
    <mergeCell ref="G631:H631"/>
    <mergeCell ref="I631:J631"/>
    <mergeCell ref="K631:L631"/>
    <mergeCell ref="N630:O630"/>
    <mergeCell ref="P630:Q630"/>
    <mergeCell ref="R630:S630"/>
    <mergeCell ref="T630:U630"/>
    <mergeCell ref="E630:F630"/>
    <mergeCell ref="G630:H630"/>
    <mergeCell ref="I630:J630"/>
    <mergeCell ref="K630:L630"/>
    <mergeCell ref="N629:O629"/>
    <mergeCell ref="P629:Q629"/>
    <mergeCell ref="R629:S629"/>
    <mergeCell ref="T629:U629"/>
    <mergeCell ref="E629:F629"/>
    <mergeCell ref="G629:H629"/>
    <mergeCell ref="I629:J629"/>
    <mergeCell ref="K629:L629"/>
    <mergeCell ref="N628:O628"/>
    <mergeCell ref="P628:Q628"/>
    <mergeCell ref="R628:S628"/>
    <mergeCell ref="T628:U628"/>
    <mergeCell ref="E628:F628"/>
    <mergeCell ref="G628:H628"/>
    <mergeCell ref="I628:J628"/>
    <mergeCell ref="K628:L628"/>
    <mergeCell ref="N627:O627"/>
    <mergeCell ref="P627:Q627"/>
    <mergeCell ref="R627:S627"/>
    <mergeCell ref="T627:U627"/>
    <mergeCell ref="G627:H627"/>
    <mergeCell ref="I627:J627"/>
    <mergeCell ref="K627:L627"/>
    <mergeCell ref="N626:O626"/>
    <mergeCell ref="P626:Q626"/>
    <mergeCell ref="R626:S626"/>
    <mergeCell ref="T626:U626"/>
    <mergeCell ref="G626:H626"/>
    <mergeCell ref="I626:J626"/>
    <mergeCell ref="K626:L626"/>
    <mergeCell ref="R625:S625"/>
    <mergeCell ref="T625:U625"/>
    <mergeCell ref="E625:F625"/>
    <mergeCell ref="G625:H625"/>
    <mergeCell ref="I625:J625"/>
    <mergeCell ref="K625:L625"/>
    <mergeCell ref="N624:O624"/>
    <mergeCell ref="P624:Q624"/>
    <mergeCell ref="R624:S624"/>
    <mergeCell ref="T624:U624"/>
    <mergeCell ref="E624:F624"/>
    <mergeCell ref="G624:H624"/>
    <mergeCell ref="I624:J624"/>
    <mergeCell ref="K624:L624"/>
    <mergeCell ref="N623:O623"/>
    <mergeCell ref="P623:Q623"/>
    <mergeCell ref="R623:S623"/>
    <mergeCell ref="T623:U623"/>
    <mergeCell ref="E623:F623"/>
    <mergeCell ref="G623:H623"/>
    <mergeCell ref="I623:J623"/>
    <mergeCell ref="K623:L623"/>
    <mergeCell ref="N622:O622"/>
    <mergeCell ref="P622:Q622"/>
    <mergeCell ref="R622:S622"/>
    <mergeCell ref="T622:U622"/>
    <mergeCell ref="E622:F622"/>
    <mergeCell ref="G622:H622"/>
    <mergeCell ref="I622:J622"/>
    <mergeCell ref="K622:L622"/>
    <mergeCell ref="N621:O621"/>
    <mergeCell ref="P621:Q621"/>
    <mergeCell ref="R621:S621"/>
    <mergeCell ref="T621:U621"/>
    <mergeCell ref="E621:F621"/>
    <mergeCell ref="G621:H621"/>
    <mergeCell ref="I621:J621"/>
    <mergeCell ref="K621:L621"/>
    <mergeCell ref="N620:O620"/>
    <mergeCell ref="P620:Q620"/>
    <mergeCell ref="R620:S620"/>
    <mergeCell ref="T620:U620"/>
    <mergeCell ref="E620:F620"/>
    <mergeCell ref="G620:H620"/>
    <mergeCell ref="I620:J620"/>
    <mergeCell ref="K620:L620"/>
    <mergeCell ref="N619:O619"/>
    <mergeCell ref="P619:Q619"/>
    <mergeCell ref="R619:S619"/>
    <mergeCell ref="T619:U619"/>
    <mergeCell ref="E619:F619"/>
    <mergeCell ref="G619:H619"/>
    <mergeCell ref="I619:J619"/>
    <mergeCell ref="K619:L619"/>
    <mergeCell ref="N618:O618"/>
    <mergeCell ref="P618:Q618"/>
    <mergeCell ref="R618:S618"/>
    <mergeCell ref="T618:U618"/>
    <mergeCell ref="E618:F618"/>
    <mergeCell ref="G618:H618"/>
    <mergeCell ref="I618:J618"/>
    <mergeCell ref="K618:L618"/>
    <mergeCell ref="T616:U616"/>
    <mergeCell ref="E617:F617"/>
    <mergeCell ref="G617:H617"/>
    <mergeCell ref="I617:J617"/>
    <mergeCell ref="K617:L617"/>
    <mergeCell ref="N617:O617"/>
    <mergeCell ref="P617:Q617"/>
    <mergeCell ref="R617:S617"/>
    <mergeCell ref="T617:U617"/>
    <mergeCell ref="M615:M616"/>
    <mergeCell ref="T615:U615"/>
    <mergeCell ref="D616:F616"/>
    <mergeCell ref="V615:V616"/>
    <mergeCell ref="W615:Y615"/>
    <mergeCell ref="G616:H616"/>
    <mergeCell ref="I616:J616"/>
    <mergeCell ref="K616:L616"/>
    <mergeCell ref="N616:O616"/>
    <mergeCell ref="P616:Q616"/>
    <mergeCell ref="R616:S616"/>
    <mergeCell ref="N615:O615"/>
    <mergeCell ref="P615:Q615"/>
    <mergeCell ref="R615:S615"/>
    <mergeCell ref="E615:F615"/>
    <mergeCell ref="G615:H615"/>
    <mergeCell ref="I615:J615"/>
    <mergeCell ref="K615:L615"/>
    <mergeCell ref="J614:L614"/>
    <mergeCell ref="M614:O614"/>
    <mergeCell ref="P614:Q614"/>
    <mergeCell ref="R614:Y614"/>
    <mergeCell ref="A614:B614"/>
    <mergeCell ref="C614:D614"/>
    <mergeCell ref="E614:G614"/>
    <mergeCell ref="H614:I614"/>
    <mergeCell ref="A612:Y612"/>
    <mergeCell ref="A613:B613"/>
    <mergeCell ref="C613:D613"/>
    <mergeCell ref="E613:G613"/>
    <mergeCell ref="H613:L613"/>
    <mergeCell ref="M613:O613"/>
    <mergeCell ref="P613:Y613"/>
    <mergeCell ref="S607:Y607"/>
    <mergeCell ref="E608:F608"/>
    <mergeCell ref="I608:L608"/>
    <mergeCell ref="M608:P608"/>
    <mergeCell ref="Q608:R608"/>
    <mergeCell ref="E607:F607"/>
    <mergeCell ref="I607:L607"/>
    <mergeCell ref="M607:P607"/>
    <mergeCell ref="Q607:R607"/>
    <mergeCell ref="E606:F606"/>
    <mergeCell ref="I606:L606"/>
    <mergeCell ref="M606:P606"/>
    <mergeCell ref="Q606:R606"/>
    <mergeCell ref="E609:F609"/>
    <mergeCell ref="I609:L609"/>
    <mergeCell ref="M609:P609"/>
    <mergeCell ref="Q609:R609"/>
    <mergeCell ref="E605:F605"/>
    <mergeCell ref="I605:L605"/>
    <mergeCell ref="M605:P605"/>
    <mergeCell ref="Q605:R605"/>
    <mergeCell ref="E604:F604"/>
    <mergeCell ref="I604:L604"/>
    <mergeCell ref="M604:P604"/>
    <mergeCell ref="Q604:R604"/>
    <mergeCell ref="E603:F603"/>
    <mergeCell ref="I603:L603"/>
    <mergeCell ref="M603:P603"/>
    <mergeCell ref="Q603:R603"/>
    <mergeCell ref="E602:F602"/>
    <mergeCell ref="I602:L602"/>
    <mergeCell ref="M602:P602"/>
    <mergeCell ref="Q602:R602"/>
    <mergeCell ref="A600:F600"/>
    <mergeCell ref="G600:R600"/>
    <mergeCell ref="S600:Y600"/>
    <mergeCell ref="E601:F601"/>
    <mergeCell ref="I601:L601"/>
    <mergeCell ref="M601:P601"/>
    <mergeCell ref="Q601:R601"/>
    <mergeCell ref="N598:O598"/>
    <mergeCell ref="P598:Q598"/>
    <mergeCell ref="R598:S598"/>
    <mergeCell ref="T598:U598"/>
    <mergeCell ref="E598:F598"/>
    <mergeCell ref="G598:H598"/>
    <mergeCell ref="I598:J598"/>
    <mergeCell ref="K598:L598"/>
    <mergeCell ref="N597:O597"/>
    <mergeCell ref="P597:Q597"/>
    <mergeCell ref="R597:S597"/>
    <mergeCell ref="T597:U597"/>
    <mergeCell ref="E597:F597"/>
    <mergeCell ref="G597:H597"/>
    <mergeCell ref="I597:J597"/>
    <mergeCell ref="K597:L597"/>
    <mergeCell ref="N596:O596"/>
    <mergeCell ref="P596:Q596"/>
    <mergeCell ref="R596:S596"/>
    <mergeCell ref="T596:U596"/>
    <mergeCell ref="E596:F596"/>
    <mergeCell ref="G596:H596"/>
    <mergeCell ref="I596:J596"/>
    <mergeCell ref="K596:L596"/>
    <mergeCell ref="N595:O595"/>
    <mergeCell ref="P595:Q595"/>
    <mergeCell ref="R595:S595"/>
    <mergeCell ref="T595:U595"/>
    <mergeCell ref="E595:F595"/>
    <mergeCell ref="G595:H595"/>
    <mergeCell ref="I595:J595"/>
    <mergeCell ref="K595:L595"/>
    <mergeCell ref="N594:O594"/>
    <mergeCell ref="P594:Q594"/>
    <mergeCell ref="R594:S594"/>
    <mergeCell ref="T594:U594"/>
    <mergeCell ref="E594:F594"/>
    <mergeCell ref="G594:H594"/>
    <mergeCell ref="I594:J594"/>
    <mergeCell ref="K594:L594"/>
    <mergeCell ref="N593:O593"/>
    <mergeCell ref="P593:Q593"/>
    <mergeCell ref="R593:S593"/>
    <mergeCell ref="T593:U593"/>
    <mergeCell ref="E593:F593"/>
    <mergeCell ref="G593:H593"/>
    <mergeCell ref="I593:J593"/>
    <mergeCell ref="K593:L593"/>
    <mergeCell ref="N592:O592"/>
    <mergeCell ref="P592:Q592"/>
    <mergeCell ref="R592:S592"/>
    <mergeCell ref="T592:U592"/>
    <mergeCell ref="E592:F592"/>
    <mergeCell ref="G592:H592"/>
    <mergeCell ref="I592:J592"/>
    <mergeCell ref="K592:L592"/>
    <mergeCell ref="N591:O591"/>
    <mergeCell ref="P591:Q591"/>
    <mergeCell ref="R591:S591"/>
    <mergeCell ref="T591:U591"/>
    <mergeCell ref="E591:F591"/>
    <mergeCell ref="G591:H591"/>
    <mergeCell ref="I591:J591"/>
    <mergeCell ref="K591:L591"/>
    <mergeCell ref="N590:O590"/>
    <mergeCell ref="P590:Q590"/>
    <mergeCell ref="R590:S590"/>
    <mergeCell ref="T590:U590"/>
    <mergeCell ref="E590:F590"/>
    <mergeCell ref="G590:H590"/>
    <mergeCell ref="I590:J590"/>
    <mergeCell ref="K590:L590"/>
    <mergeCell ref="N589:O589"/>
    <mergeCell ref="P589:Q589"/>
    <mergeCell ref="R589:S589"/>
    <mergeCell ref="T589:U589"/>
    <mergeCell ref="E589:F589"/>
    <mergeCell ref="G589:H589"/>
    <mergeCell ref="I589:J589"/>
    <mergeCell ref="K589:L589"/>
    <mergeCell ref="N588:O588"/>
    <mergeCell ref="P588:Q588"/>
    <mergeCell ref="R588:S588"/>
    <mergeCell ref="T588:U588"/>
    <mergeCell ref="E588:F588"/>
    <mergeCell ref="G588:H588"/>
    <mergeCell ref="I588:J588"/>
    <mergeCell ref="K588:L588"/>
    <mergeCell ref="N587:O587"/>
    <mergeCell ref="P587:Q587"/>
    <mergeCell ref="R587:S587"/>
    <mergeCell ref="T587:U587"/>
    <mergeCell ref="E587:F587"/>
    <mergeCell ref="G587:H587"/>
    <mergeCell ref="I587:J587"/>
    <mergeCell ref="K587:L587"/>
    <mergeCell ref="N586:O586"/>
    <mergeCell ref="P586:Q586"/>
    <mergeCell ref="R586:S586"/>
    <mergeCell ref="T586:U586"/>
    <mergeCell ref="E586:F586"/>
    <mergeCell ref="G586:H586"/>
    <mergeCell ref="I586:J586"/>
    <mergeCell ref="K586:L586"/>
    <mergeCell ref="N585:O585"/>
    <mergeCell ref="P585:Q585"/>
    <mergeCell ref="R585:S585"/>
    <mergeCell ref="T585:U585"/>
    <mergeCell ref="E585:F585"/>
    <mergeCell ref="G585:H585"/>
    <mergeCell ref="I585:J585"/>
    <mergeCell ref="K585:L585"/>
    <mergeCell ref="N584:O584"/>
    <mergeCell ref="P584:Q584"/>
    <mergeCell ref="R584:S584"/>
    <mergeCell ref="T584:U584"/>
    <mergeCell ref="E584:F584"/>
    <mergeCell ref="G584:H584"/>
    <mergeCell ref="I584:J584"/>
    <mergeCell ref="K584:L584"/>
    <mergeCell ref="T582:U582"/>
    <mergeCell ref="E583:F583"/>
    <mergeCell ref="G583:H583"/>
    <mergeCell ref="I583:J583"/>
    <mergeCell ref="K583:L583"/>
    <mergeCell ref="N583:O583"/>
    <mergeCell ref="P583:Q583"/>
    <mergeCell ref="R583:S583"/>
    <mergeCell ref="T583:U583"/>
    <mergeCell ref="M581:M582"/>
    <mergeCell ref="T581:U581"/>
    <mergeCell ref="D582:F582"/>
    <mergeCell ref="V581:V582"/>
    <mergeCell ref="W581:Y581"/>
    <mergeCell ref="G582:H582"/>
    <mergeCell ref="I582:J582"/>
    <mergeCell ref="K582:L582"/>
    <mergeCell ref="N582:O582"/>
    <mergeCell ref="P582:Q582"/>
    <mergeCell ref="R582:S582"/>
    <mergeCell ref="N581:O581"/>
    <mergeCell ref="P581:Q581"/>
    <mergeCell ref="R581:S581"/>
    <mergeCell ref="E581:F581"/>
    <mergeCell ref="G581:H581"/>
    <mergeCell ref="I581:J581"/>
    <mergeCell ref="K581:L581"/>
    <mergeCell ref="J580:L580"/>
    <mergeCell ref="M580:O580"/>
    <mergeCell ref="P580:Q580"/>
    <mergeCell ref="R580:Y580"/>
    <mergeCell ref="A580:B580"/>
    <mergeCell ref="C580:D580"/>
    <mergeCell ref="E580:G580"/>
    <mergeCell ref="H580:I580"/>
    <mergeCell ref="A578:Y578"/>
    <mergeCell ref="A579:B579"/>
    <mergeCell ref="C579:D579"/>
    <mergeCell ref="E579:G579"/>
    <mergeCell ref="H579:L579"/>
    <mergeCell ref="M579:O579"/>
    <mergeCell ref="P579:Y579"/>
    <mergeCell ref="S573:Y573"/>
    <mergeCell ref="E574:F574"/>
    <mergeCell ref="I574:L574"/>
    <mergeCell ref="M574:P574"/>
    <mergeCell ref="Q574:R574"/>
    <mergeCell ref="E573:F573"/>
    <mergeCell ref="I573:L573"/>
    <mergeCell ref="M573:P573"/>
    <mergeCell ref="Q573:R573"/>
    <mergeCell ref="E572:F572"/>
    <mergeCell ref="I572:L572"/>
    <mergeCell ref="M572:P572"/>
    <mergeCell ref="Q572:R572"/>
    <mergeCell ref="E575:F575"/>
    <mergeCell ref="I575:L575"/>
    <mergeCell ref="M575:P575"/>
    <mergeCell ref="Q575:R575"/>
    <mergeCell ref="E571:F571"/>
    <mergeCell ref="I571:L571"/>
    <mergeCell ref="M571:P571"/>
    <mergeCell ref="Q571:R571"/>
    <mergeCell ref="E570:F570"/>
    <mergeCell ref="I570:L570"/>
    <mergeCell ref="M570:P570"/>
    <mergeCell ref="Q570:R570"/>
    <mergeCell ref="E569:F569"/>
    <mergeCell ref="I569:L569"/>
    <mergeCell ref="M569:P569"/>
    <mergeCell ref="Q569:R569"/>
    <mergeCell ref="E568:F568"/>
    <mergeCell ref="I568:L568"/>
    <mergeCell ref="M568:P568"/>
    <mergeCell ref="Q568:R568"/>
    <mergeCell ref="A566:F566"/>
    <mergeCell ref="G566:R566"/>
    <mergeCell ref="S566:Y566"/>
    <mergeCell ref="E567:F567"/>
    <mergeCell ref="I567:L567"/>
    <mergeCell ref="M567:P567"/>
    <mergeCell ref="Q567:R567"/>
    <mergeCell ref="N564:O564"/>
    <mergeCell ref="P564:Q564"/>
    <mergeCell ref="R564:S564"/>
    <mergeCell ref="T564:U564"/>
    <mergeCell ref="E564:F564"/>
    <mergeCell ref="G564:H564"/>
    <mergeCell ref="I564:J564"/>
    <mergeCell ref="K564:L564"/>
    <mergeCell ref="N563:O563"/>
    <mergeCell ref="P563:Q563"/>
    <mergeCell ref="R563:S563"/>
    <mergeCell ref="T563:U563"/>
    <mergeCell ref="E563:F563"/>
    <mergeCell ref="G563:H563"/>
    <mergeCell ref="I563:J563"/>
    <mergeCell ref="K563:L563"/>
    <mergeCell ref="N562:O562"/>
    <mergeCell ref="P562:Q562"/>
    <mergeCell ref="R562:S562"/>
    <mergeCell ref="T562:U562"/>
    <mergeCell ref="E562:F562"/>
    <mergeCell ref="G562:H562"/>
    <mergeCell ref="I562:J562"/>
    <mergeCell ref="K562:L562"/>
    <mergeCell ref="N561:O561"/>
    <mergeCell ref="P561:Q561"/>
    <mergeCell ref="R561:S561"/>
    <mergeCell ref="T561:U561"/>
    <mergeCell ref="E561:F561"/>
    <mergeCell ref="G561:H561"/>
    <mergeCell ref="I561:J561"/>
    <mergeCell ref="K561:L561"/>
    <mergeCell ref="N560:O560"/>
    <mergeCell ref="P560:Q560"/>
    <mergeCell ref="R560:S560"/>
    <mergeCell ref="T560:U560"/>
    <mergeCell ref="E560:F560"/>
    <mergeCell ref="G560:H560"/>
    <mergeCell ref="I560:J560"/>
    <mergeCell ref="K560:L560"/>
    <mergeCell ref="N559:O559"/>
    <mergeCell ref="P559:Q559"/>
    <mergeCell ref="R559:S559"/>
    <mergeCell ref="T559:U559"/>
    <mergeCell ref="E559:F559"/>
    <mergeCell ref="G559:H559"/>
    <mergeCell ref="I559:J559"/>
    <mergeCell ref="K559:L559"/>
    <mergeCell ref="N558:O558"/>
    <mergeCell ref="P558:Q558"/>
    <mergeCell ref="R558:S558"/>
    <mergeCell ref="T558:U558"/>
    <mergeCell ref="E558:F558"/>
    <mergeCell ref="G558:H558"/>
    <mergeCell ref="I558:J558"/>
    <mergeCell ref="K558:L558"/>
    <mergeCell ref="N557:O557"/>
    <mergeCell ref="P557:Q557"/>
    <mergeCell ref="R557:S557"/>
    <mergeCell ref="T557:U557"/>
    <mergeCell ref="E557:F557"/>
    <mergeCell ref="G557:H557"/>
    <mergeCell ref="I557:J557"/>
    <mergeCell ref="K557:L557"/>
    <mergeCell ref="N556:O556"/>
    <mergeCell ref="P556:Q556"/>
    <mergeCell ref="R556:S556"/>
    <mergeCell ref="T556:U556"/>
    <mergeCell ref="E556:F556"/>
    <mergeCell ref="G556:H556"/>
    <mergeCell ref="I556:J556"/>
    <mergeCell ref="K556:L556"/>
    <mergeCell ref="N555:O555"/>
    <mergeCell ref="P555:Q555"/>
    <mergeCell ref="R555:S555"/>
    <mergeCell ref="T555:U555"/>
    <mergeCell ref="E555:F555"/>
    <mergeCell ref="G555:H555"/>
    <mergeCell ref="I555:J555"/>
    <mergeCell ref="K555:L555"/>
    <mergeCell ref="N554:O554"/>
    <mergeCell ref="P554:Q554"/>
    <mergeCell ref="R554:S554"/>
    <mergeCell ref="T554:U554"/>
    <mergeCell ref="E554:F554"/>
    <mergeCell ref="G554:H554"/>
    <mergeCell ref="I554:J554"/>
    <mergeCell ref="K554:L554"/>
    <mergeCell ref="N553:O553"/>
    <mergeCell ref="P553:Q553"/>
    <mergeCell ref="R553:S553"/>
    <mergeCell ref="T553:U553"/>
    <mergeCell ref="E553:F553"/>
    <mergeCell ref="G553:H553"/>
    <mergeCell ref="I553:J553"/>
    <mergeCell ref="K553:L553"/>
    <mergeCell ref="N552:O552"/>
    <mergeCell ref="P552:Q552"/>
    <mergeCell ref="R552:S552"/>
    <mergeCell ref="T552:U552"/>
    <mergeCell ref="E552:F552"/>
    <mergeCell ref="G552:H552"/>
    <mergeCell ref="I552:J552"/>
    <mergeCell ref="K552:L552"/>
    <mergeCell ref="N551:O551"/>
    <mergeCell ref="P551:Q551"/>
    <mergeCell ref="R551:S551"/>
    <mergeCell ref="T551:U551"/>
    <mergeCell ref="E551:F551"/>
    <mergeCell ref="G551:H551"/>
    <mergeCell ref="I551:J551"/>
    <mergeCell ref="K551:L551"/>
    <mergeCell ref="N550:O550"/>
    <mergeCell ref="P550:Q550"/>
    <mergeCell ref="R550:S550"/>
    <mergeCell ref="T550:U550"/>
    <mergeCell ref="E550:F550"/>
    <mergeCell ref="G550:H550"/>
    <mergeCell ref="I550:J550"/>
    <mergeCell ref="K550:L550"/>
    <mergeCell ref="T548:U548"/>
    <mergeCell ref="E549:F549"/>
    <mergeCell ref="G549:H549"/>
    <mergeCell ref="I549:J549"/>
    <mergeCell ref="K549:L549"/>
    <mergeCell ref="N549:O549"/>
    <mergeCell ref="P549:Q549"/>
    <mergeCell ref="R549:S549"/>
    <mergeCell ref="T549:U549"/>
    <mergeCell ref="M547:M548"/>
    <mergeCell ref="T547:U547"/>
    <mergeCell ref="D548:F548"/>
    <mergeCell ref="V547:V548"/>
    <mergeCell ref="W547:Y547"/>
    <mergeCell ref="G548:H548"/>
    <mergeCell ref="I548:J548"/>
    <mergeCell ref="K548:L548"/>
    <mergeCell ref="N548:O548"/>
    <mergeCell ref="P548:Q548"/>
    <mergeCell ref="R548:S548"/>
    <mergeCell ref="N547:O547"/>
    <mergeCell ref="P547:Q547"/>
    <mergeCell ref="R547:S547"/>
    <mergeCell ref="E547:F547"/>
    <mergeCell ref="G547:H547"/>
    <mergeCell ref="I547:J547"/>
    <mergeCell ref="K547:L547"/>
    <mergeCell ref="J546:L546"/>
    <mergeCell ref="M546:O546"/>
    <mergeCell ref="P546:Q546"/>
    <mergeCell ref="R546:Y546"/>
    <mergeCell ref="A546:B546"/>
    <mergeCell ref="C546:D546"/>
    <mergeCell ref="E546:G546"/>
    <mergeCell ref="H546:I546"/>
    <mergeCell ref="A544:Y544"/>
    <mergeCell ref="A545:B545"/>
    <mergeCell ref="C545:D545"/>
    <mergeCell ref="E545:G545"/>
    <mergeCell ref="H545:L545"/>
    <mergeCell ref="M545:O545"/>
    <mergeCell ref="P545:Y545"/>
    <mergeCell ref="S539:Y539"/>
    <mergeCell ref="E540:F540"/>
    <mergeCell ref="I540:L540"/>
    <mergeCell ref="M540:P540"/>
    <mergeCell ref="Q540:R540"/>
    <mergeCell ref="E539:F539"/>
    <mergeCell ref="I539:L539"/>
    <mergeCell ref="M539:P539"/>
    <mergeCell ref="Q539:R539"/>
    <mergeCell ref="E538:F538"/>
    <mergeCell ref="I538:L538"/>
    <mergeCell ref="M538:P538"/>
    <mergeCell ref="Q538:R538"/>
    <mergeCell ref="E541:F541"/>
    <mergeCell ref="I541:L541"/>
    <mergeCell ref="M541:P541"/>
    <mergeCell ref="Q541:R541"/>
    <mergeCell ref="E537:F537"/>
    <mergeCell ref="I537:L537"/>
    <mergeCell ref="M537:P537"/>
    <mergeCell ref="Q537:R537"/>
    <mergeCell ref="E536:F536"/>
    <mergeCell ref="I536:L536"/>
    <mergeCell ref="M536:P536"/>
    <mergeCell ref="Q536:R536"/>
    <mergeCell ref="E535:F535"/>
    <mergeCell ref="I535:L535"/>
    <mergeCell ref="M535:P535"/>
    <mergeCell ref="Q535:R535"/>
    <mergeCell ref="E534:F534"/>
    <mergeCell ref="I534:L534"/>
    <mergeCell ref="M534:P534"/>
    <mergeCell ref="Q534:R534"/>
    <mergeCell ref="A532:F532"/>
    <mergeCell ref="G532:R532"/>
    <mergeCell ref="S532:Y532"/>
    <mergeCell ref="E533:F533"/>
    <mergeCell ref="I533:L533"/>
    <mergeCell ref="M533:P533"/>
    <mergeCell ref="Q533:R533"/>
    <mergeCell ref="N530:O530"/>
    <mergeCell ref="P530:Q530"/>
    <mergeCell ref="R530:S530"/>
    <mergeCell ref="T530:U530"/>
    <mergeCell ref="E530:F530"/>
    <mergeCell ref="G530:H530"/>
    <mergeCell ref="I530:J530"/>
    <mergeCell ref="K530:L530"/>
    <mergeCell ref="N529:O529"/>
    <mergeCell ref="P529:Q529"/>
    <mergeCell ref="R529:S529"/>
    <mergeCell ref="T529:U529"/>
    <mergeCell ref="E529:F529"/>
    <mergeCell ref="G529:H529"/>
    <mergeCell ref="I529:J529"/>
    <mergeCell ref="K529:L529"/>
    <mergeCell ref="N528:O528"/>
    <mergeCell ref="P528:Q528"/>
    <mergeCell ref="R528:S528"/>
    <mergeCell ref="T528:U528"/>
    <mergeCell ref="E528:F528"/>
    <mergeCell ref="G528:H528"/>
    <mergeCell ref="I528:J528"/>
    <mergeCell ref="K528:L528"/>
    <mergeCell ref="N527:O527"/>
    <mergeCell ref="P527:Q527"/>
    <mergeCell ref="R527:S527"/>
    <mergeCell ref="T527:U527"/>
    <mergeCell ref="E527:F527"/>
    <mergeCell ref="G527:H527"/>
    <mergeCell ref="I527:J527"/>
    <mergeCell ref="K527:L527"/>
    <mergeCell ref="N526:O526"/>
    <mergeCell ref="P526:Q526"/>
    <mergeCell ref="R526:S526"/>
    <mergeCell ref="T526:U526"/>
    <mergeCell ref="E526:F526"/>
    <mergeCell ref="G526:H526"/>
    <mergeCell ref="I526:J526"/>
    <mergeCell ref="K526:L526"/>
    <mergeCell ref="N525:O525"/>
    <mergeCell ref="P525:Q525"/>
    <mergeCell ref="R525:S525"/>
    <mergeCell ref="T525:U525"/>
    <mergeCell ref="E525:F525"/>
    <mergeCell ref="G525:H525"/>
    <mergeCell ref="I525:J525"/>
    <mergeCell ref="K525:L525"/>
    <mergeCell ref="N524:O524"/>
    <mergeCell ref="P524:Q524"/>
    <mergeCell ref="R524:S524"/>
    <mergeCell ref="T524:U524"/>
    <mergeCell ref="E524:F524"/>
    <mergeCell ref="G524:H524"/>
    <mergeCell ref="I524:J524"/>
    <mergeCell ref="K524:L524"/>
    <mergeCell ref="N523:O523"/>
    <mergeCell ref="P523:Q523"/>
    <mergeCell ref="R523:S523"/>
    <mergeCell ref="T523:U523"/>
    <mergeCell ref="E523:F523"/>
    <mergeCell ref="G523:H523"/>
    <mergeCell ref="I523:J523"/>
    <mergeCell ref="K523:L523"/>
    <mergeCell ref="N522:O522"/>
    <mergeCell ref="P522:Q522"/>
    <mergeCell ref="R522:S522"/>
    <mergeCell ref="T522:U522"/>
    <mergeCell ref="E522:F522"/>
    <mergeCell ref="G522:H522"/>
    <mergeCell ref="I522:J522"/>
    <mergeCell ref="K522:L522"/>
    <mergeCell ref="N521:O521"/>
    <mergeCell ref="P521:Q521"/>
    <mergeCell ref="R521:S521"/>
    <mergeCell ref="T521:U521"/>
    <mergeCell ref="E521:F521"/>
    <mergeCell ref="G521:H521"/>
    <mergeCell ref="I521:J521"/>
    <mergeCell ref="K521:L521"/>
    <mergeCell ref="N520:O520"/>
    <mergeCell ref="P520:Q520"/>
    <mergeCell ref="R520:S520"/>
    <mergeCell ref="T520:U520"/>
    <mergeCell ref="E520:F520"/>
    <mergeCell ref="G520:H520"/>
    <mergeCell ref="I520:J520"/>
    <mergeCell ref="K520:L520"/>
    <mergeCell ref="N519:O519"/>
    <mergeCell ref="P519:Q519"/>
    <mergeCell ref="R519:S519"/>
    <mergeCell ref="T519:U519"/>
    <mergeCell ref="E519:F519"/>
    <mergeCell ref="G519:H519"/>
    <mergeCell ref="I519:J519"/>
    <mergeCell ref="K519:L519"/>
    <mergeCell ref="N518:O518"/>
    <mergeCell ref="P518:Q518"/>
    <mergeCell ref="R518:S518"/>
    <mergeCell ref="T518:U518"/>
    <mergeCell ref="E518:F518"/>
    <mergeCell ref="G518:H518"/>
    <mergeCell ref="I518:J518"/>
    <mergeCell ref="K518:L518"/>
    <mergeCell ref="T516:U516"/>
    <mergeCell ref="E517:F517"/>
    <mergeCell ref="G517:H517"/>
    <mergeCell ref="I517:J517"/>
    <mergeCell ref="K517:L517"/>
    <mergeCell ref="N517:O517"/>
    <mergeCell ref="P517:Q517"/>
    <mergeCell ref="R517:S517"/>
    <mergeCell ref="T517:U517"/>
    <mergeCell ref="M515:M516"/>
    <mergeCell ref="T515:U515"/>
    <mergeCell ref="D516:F516"/>
    <mergeCell ref="V515:V516"/>
    <mergeCell ref="W515:Y515"/>
    <mergeCell ref="G516:H516"/>
    <mergeCell ref="I516:J516"/>
    <mergeCell ref="K516:L516"/>
    <mergeCell ref="N516:O516"/>
    <mergeCell ref="P516:Q516"/>
    <mergeCell ref="R516:S516"/>
    <mergeCell ref="N515:O515"/>
    <mergeCell ref="P515:Q515"/>
    <mergeCell ref="R515:S515"/>
    <mergeCell ref="E515:F515"/>
    <mergeCell ref="G515:H515"/>
    <mergeCell ref="I515:J515"/>
    <mergeCell ref="K515:L515"/>
    <mergeCell ref="J514:L514"/>
    <mergeCell ref="M514:O514"/>
    <mergeCell ref="P514:Q514"/>
    <mergeCell ref="R514:Y514"/>
    <mergeCell ref="A514:B514"/>
    <mergeCell ref="C514:D514"/>
    <mergeCell ref="E514:G514"/>
    <mergeCell ref="H514:I514"/>
    <mergeCell ref="A512:Y512"/>
    <mergeCell ref="A513:B513"/>
    <mergeCell ref="C513:D513"/>
    <mergeCell ref="E513:G513"/>
    <mergeCell ref="H513:L513"/>
    <mergeCell ref="M513:O513"/>
    <mergeCell ref="P513:Y513"/>
    <mergeCell ref="S507:Y507"/>
    <mergeCell ref="E508:F508"/>
    <mergeCell ref="I508:L508"/>
    <mergeCell ref="M508:P508"/>
    <mergeCell ref="Q508:R508"/>
    <mergeCell ref="E507:F507"/>
    <mergeCell ref="I507:L507"/>
    <mergeCell ref="M507:P507"/>
    <mergeCell ref="Q507:R507"/>
    <mergeCell ref="E506:F506"/>
    <mergeCell ref="I506:L506"/>
    <mergeCell ref="M506:P506"/>
    <mergeCell ref="Q506:R506"/>
    <mergeCell ref="E509:F509"/>
    <mergeCell ref="I509:L509"/>
    <mergeCell ref="M509:P509"/>
    <mergeCell ref="Q509:R509"/>
    <mergeCell ref="E505:F505"/>
    <mergeCell ref="I505:L505"/>
    <mergeCell ref="M505:P505"/>
    <mergeCell ref="Q505:R505"/>
    <mergeCell ref="E504:F504"/>
    <mergeCell ref="I504:L504"/>
    <mergeCell ref="M504:P504"/>
    <mergeCell ref="Q504:R504"/>
    <mergeCell ref="E503:F503"/>
    <mergeCell ref="I503:L503"/>
    <mergeCell ref="M503:P503"/>
    <mergeCell ref="Q503:R503"/>
    <mergeCell ref="E502:F502"/>
    <mergeCell ref="I502:L502"/>
    <mergeCell ref="M502:P502"/>
    <mergeCell ref="Q502:R502"/>
    <mergeCell ref="A500:F500"/>
    <mergeCell ref="G500:R500"/>
    <mergeCell ref="S500:Y500"/>
    <mergeCell ref="E501:F501"/>
    <mergeCell ref="I501:L501"/>
    <mergeCell ref="M501:P501"/>
    <mergeCell ref="Q501:R501"/>
    <mergeCell ref="N498:O498"/>
    <mergeCell ref="P498:Q498"/>
    <mergeCell ref="R498:S498"/>
    <mergeCell ref="T498:U498"/>
    <mergeCell ref="E498:F498"/>
    <mergeCell ref="G498:H498"/>
    <mergeCell ref="I498:J498"/>
    <mergeCell ref="K498:L498"/>
    <mergeCell ref="N497:O497"/>
    <mergeCell ref="P497:Q497"/>
    <mergeCell ref="R497:S497"/>
    <mergeCell ref="T497:U497"/>
    <mergeCell ref="E497:F497"/>
    <mergeCell ref="G497:H497"/>
    <mergeCell ref="I497:J497"/>
    <mergeCell ref="K497:L497"/>
    <mergeCell ref="N496:O496"/>
    <mergeCell ref="P496:Q496"/>
    <mergeCell ref="R496:S496"/>
    <mergeCell ref="T496:U496"/>
    <mergeCell ref="E496:F496"/>
    <mergeCell ref="G496:H496"/>
    <mergeCell ref="I496:J496"/>
    <mergeCell ref="K496:L496"/>
    <mergeCell ref="N495:O495"/>
    <mergeCell ref="P495:Q495"/>
    <mergeCell ref="R495:S495"/>
    <mergeCell ref="T495:U495"/>
    <mergeCell ref="E495:F495"/>
    <mergeCell ref="G495:H495"/>
    <mergeCell ref="I495:J495"/>
    <mergeCell ref="K495:L495"/>
    <mergeCell ref="N494:O494"/>
    <mergeCell ref="P494:Q494"/>
    <mergeCell ref="R494:S494"/>
    <mergeCell ref="T494:U494"/>
    <mergeCell ref="G494:H494"/>
    <mergeCell ref="I494:J494"/>
    <mergeCell ref="K494:L494"/>
    <mergeCell ref="N493:O493"/>
    <mergeCell ref="P493:Q493"/>
    <mergeCell ref="R493:S493"/>
    <mergeCell ref="T493:U493"/>
    <mergeCell ref="G493:H493"/>
    <mergeCell ref="I493:J493"/>
    <mergeCell ref="K493:L493"/>
    <mergeCell ref="N492:O492"/>
    <mergeCell ref="P492:Q492"/>
    <mergeCell ref="R492:S492"/>
    <mergeCell ref="T492:U492"/>
    <mergeCell ref="E492:F492"/>
    <mergeCell ref="G492:H492"/>
    <mergeCell ref="I492:J492"/>
    <mergeCell ref="K492:L492"/>
    <mergeCell ref="N491:O491"/>
    <mergeCell ref="P491:Q491"/>
    <mergeCell ref="R491:S491"/>
    <mergeCell ref="T491:U491"/>
    <mergeCell ref="E491:F491"/>
    <mergeCell ref="G491:H491"/>
    <mergeCell ref="I491:J491"/>
    <mergeCell ref="K491:L491"/>
    <mergeCell ref="N490:O490"/>
    <mergeCell ref="P490:Q490"/>
    <mergeCell ref="R490:S490"/>
    <mergeCell ref="T490:U490"/>
    <mergeCell ref="E490:F490"/>
    <mergeCell ref="G490:H490"/>
    <mergeCell ref="I490:J490"/>
    <mergeCell ref="K490:L490"/>
    <mergeCell ref="N489:O489"/>
    <mergeCell ref="P489:Q489"/>
    <mergeCell ref="R489:S489"/>
    <mergeCell ref="T489:U489"/>
    <mergeCell ref="E489:F489"/>
    <mergeCell ref="G489:H489"/>
    <mergeCell ref="I489:J489"/>
    <mergeCell ref="K489:L489"/>
    <mergeCell ref="N488:O488"/>
    <mergeCell ref="P488:Q488"/>
    <mergeCell ref="R488:S488"/>
    <mergeCell ref="T488:U488"/>
    <mergeCell ref="E488:F488"/>
    <mergeCell ref="G488:H488"/>
    <mergeCell ref="I488:J488"/>
    <mergeCell ref="K488:L488"/>
    <mergeCell ref="N487:O487"/>
    <mergeCell ref="P487:Q487"/>
    <mergeCell ref="R487:S487"/>
    <mergeCell ref="T487:U487"/>
    <mergeCell ref="E487:F487"/>
    <mergeCell ref="G487:H487"/>
    <mergeCell ref="I487:J487"/>
    <mergeCell ref="K487:L487"/>
    <mergeCell ref="N486:O486"/>
    <mergeCell ref="P486:Q486"/>
    <mergeCell ref="R486:S486"/>
    <mergeCell ref="T486:U486"/>
    <mergeCell ref="E486:F486"/>
    <mergeCell ref="G486:H486"/>
    <mergeCell ref="I486:J486"/>
    <mergeCell ref="K486:L486"/>
    <mergeCell ref="N485:O485"/>
    <mergeCell ref="P485:Q485"/>
    <mergeCell ref="R485:S485"/>
    <mergeCell ref="T485:U485"/>
    <mergeCell ref="E485:F485"/>
    <mergeCell ref="G485:H485"/>
    <mergeCell ref="I485:J485"/>
    <mergeCell ref="K485:L485"/>
    <mergeCell ref="N484:O484"/>
    <mergeCell ref="P484:Q484"/>
    <mergeCell ref="R484:S484"/>
    <mergeCell ref="T484:U484"/>
    <mergeCell ref="E484:F484"/>
    <mergeCell ref="G484:H484"/>
    <mergeCell ref="I484:J484"/>
    <mergeCell ref="K484:L484"/>
    <mergeCell ref="T482:U482"/>
    <mergeCell ref="E483:F483"/>
    <mergeCell ref="G483:H483"/>
    <mergeCell ref="I483:J483"/>
    <mergeCell ref="K483:L483"/>
    <mergeCell ref="N483:O483"/>
    <mergeCell ref="P483:Q483"/>
    <mergeCell ref="R483:S483"/>
    <mergeCell ref="T483:U483"/>
    <mergeCell ref="M481:M482"/>
    <mergeCell ref="T481:U481"/>
    <mergeCell ref="D482:F482"/>
    <mergeCell ref="V481:V482"/>
    <mergeCell ref="W481:Y481"/>
    <mergeCell ref="G482:H482"/>
    <mergeCell ref="I482:J482"/>
    <mergeCell ref="K482:L482"/>
    <mergeCell ref="N482:O482"/>
    <mergeCell ref="P482:Q482"/>
    <mergeCell ref="R482:S482"/>
    <mergeCell ref="N481:O481"/>
    <mergeCell ref="P481:Q481"/>
    <mergeCell ref="R481:S481"/>
    <mergeCell ref="E481:F481"/>
    <mergeCell ref="G481:H481"/>
    <mergeCell ref="I481:J481"/>
    <mergeCell ref="K481:L481"/>
    <mergeCell ref="J480:L480"/>
    <mergeCell ref="M480:O480"/>
    <mergeCell ref="P480:Q480"/>
    <mergeCell ref="R480:Y480"/>
    <mergeCell ref="A480:B480"/>
    <mergeCell ref="C480:D480"/>
    <mergeCell ref="E480:G480"/>
    <mergeCell ref="H480:I480"/>
    <mergeCell ref="A478:Y478"/>
    <mergeCell ref="A479:B479"/>
    <mergeCell ref="C479:D479"/>
    <mergeCell ref="E479:G479"/>
    <mergeCell ref="H479:L479"/>
    <mergeCell ref="M479:O479"/>
    <mergeCell ref="P479:Y479"/>
    <mergeCell ref="S473:Y473"/>
    <mergeCell ref="E474:F474"/>
    <mergeCell ref="I474:L474"/>
    <mergeCell ref="M474:P474"/>
    <mergeCell ref="Q474:R474"/>
    <mergeCell ref="E473:F473"/>
    <mergeCell ref="I473:L473"/>
    <mergeCell ref="M473:P473"/>
    <mergeCell ref="Q473:R473"/>
    <mergeCell ref="E472:F472"/>
    <mergeCell ref="I472:L472"/>
    <mergeCell ref="M472:P472"/>
    <mergeCell ref="Q472:R472"/>
    <mergeCell ref="E475:F475"/>
    <mergeCell ref="I475:L475"/>
    <mergeCell ref="M475:P475"/>
    <mergeCell ref="Q475:R475"/>
    <mergeCell ref="E471:F471"/>
    <mergeCell ref="I471:L471"/>
    <mergeCell ref="M471:P471"/>
    <mergeCell ref="Q471:R471"/>
    <mergeCell ref="E470:F470"/>
    <mergeCell ref="I470:L470"/>
    <mergeCell ref="M470:P470"/>
    <mergeCell ref="Q470:R470"/>
    <mergeCell ref="E469:F469"/>
    <mergeCell ref="I469:L469"/>
    <mergeCell ref="M469:P469"/>
    <mergeCell ref="Q469:R469"/>
    <mergeCell ref="E468:F468"/>
    <mergeCell ref="I468:L468"/>
    <mergeCell ref="M468:P468"/>
    <mergeCell ref="Q468:R468"/>
    <mergeCell ref="A466:F466"/>
    <mergeCell ref="G466:R466"/>
    <mergeCell ref="S466:Y466"/>
    <mergeCell ref="E467:F467"/>
    <mergeCell ref="I467:L467"/>
    <mergeCell ref="M467:P467"/>
    <mergeCell ref="Q467:R467"/>
    <mergeCell ref="N463:O463"/>
    <mergeCell ref="P463:Q463"/>
    <mergeCell ref="R463:S463"/>
    <mergeCell ref="T463:U463"/>
    <mergeCell ref="E463:F463"/>
    <mergeCell ref="G463:H463"/>
    <mergeCell ref="I463:J463"/>
    <mergeCell ref="K463:L463"/>
    <mergeCell ref="E464:F464"/>
    <mergeCell ref="G464:H464"/>
    <mergeCell ref="I464:J464"/>
    <mergeCell ref="K464:L464"/>
    <mergeCell ref="N464:O464"/>
    <mergeCell ref="P464:Q464"/>
    <mergeCell ref="R464:S464"/>
    <mergeCell ref="T464:U464"/>
    <mergeCell ref="N462:O462"/>
    <mergeCell ref="P462:Q462"/>
    <mergeCell ref="R462:S462"/>
    <mergeCell ref="T462:U462"/>
    <mergeCell ref="E462:F462"/>
    <mergeCell ref="G462:H462"/>
    <mergeCell ref="I462:J462"/>
    <mergeCell ref="K462:L462"/>
    <mergeCell ref="N461:O461"/>
    <mergeCell ref="P461:Q461"/>
    <mergeCell ref="R461:S461"/>
    <mergeCell ref="T461:U461"/>
    <mergeCell ref="E461:F461"/>
    <mergeCell ref="G461:H461"/>
    <mergeCell ref="I461:J461"/>
    <mergeCell ref="K461:L461"/>
    <mergeCell ref="N460:O460"/>
    <mergeCell ref="P460:Q460"/>
    <mergeCell ref="R460:S460"/>
    <mergeCell ref="T460:U460"/>
    <mergeCell ref="G460:H460"/>
    <mergeCell ref="I460:J460"/>
    <mergeCell ref="K460:L460"/>
    <mergeCell ref="D460:F460"/>
    <mergeCell ref="N459:O459"/>
    <mergeCell ref="P459:Q459"/>
    <mergeCell ref="R459:S459"/>
    <mergeCell ref="T459:U459"/>
    <mergeCell ref="E459:F459"/>
    <mergeCell ref="G459:H459"/>
    <mergeCell ref="I459:J459"/>
    <mergeCell ref="K459:L459"/>
    <mergeCell ref="N458:O458"/>
    <mergeCell ref="P458:Q458"/>
    <mergeCell ref="R458:S458"/>
    <mergeCell ref="T458:U458"/>
    <mergeCell ref="G458:H458"/>
    <mergeCell ref="I458:J458"/>
    <mergeCell ref="K458:L458"/>
    <mergeCell ref="N457:O457"/>
    <mergeCell ref="P457:Q457"/>
    <mergeCell ref="R457:S457"/>
    <mergeCell ref="T457:U457"/>
    <mergeCell ref="E457:F457"/>
    <mergeCell ref="G457:H457"/>
    <mergeCell ref="I457:J457"/>
    <mergeCell ref="K457:L457"/>
    <mergeCell ref="E458:F458"/>
    <mergeCell ref="N456:O456"/>
    <mergeCell ref="P456:Q456"/>
    <mergeCell ref="R456:S456"/>
    <mergeCell ref="T456:U456"/>
    <mergeCell ref="E456:F456"/>
    <mergeCell ref="G456:H456"/>
    <mergeCell ref="I456:J456"/>
    <mergeCell ref="K456:L456"/>
    <mergeCell ref="N455:O455"/>
    <mergeCell ref="P455:Q455"/>
    <mergeCell ref="R455:S455"/>
    <mergeCell ref="T455:U455"/>
    <mergeCell ref="E455:F455"/>
    <mergeCell ref="G455:H455"/>
    <mergeCell ref="I455:J455"/>
    <mergeCell ref="K455:L455"/>
    <mergeCell ref="N454:O454"/>
    <mergeCell ref="P454:Q454"/>
    <mergeCell ref="R454:S454"/>
    <mergeCell ref="T454:U454"/>
    <mergeCell ref="E454:F454"/>
    <mergeCell ref="G454:H454"/>
    <mergeCell ref="I454:J454"/>
    <mergeCell ref="K454:L454"/>
    <mergeCell ref="N453:O453"/>
    <mergeCell ref="P453:Q453"/>
    <mergeCell ref="R453:S453"/>
    <mergeCell ref="T453:U453"/>
    <mergeCell ref="E453:F453"/>
    <mergeCell ref="G453:H453"/>
    <mergeCell ref="I453:J453"/>
    <mergeCell ref="K453:L453"/>
    <mergeCell ref="N452:O452"/>
    <mergeCell ref="P452:Q452"/>
    <mergeCell ref="R452:S452"/>
    <mergeCell ref="T452:U452"/>
    <mergeCell ref="E452:F452"/>
    <mergeCell ref="G452:H452"/>
    <mergeCell ref="I452:J452"/>
    <mergeCell ref="K452:L452"/>
    <mergeCell ref="N451:O451"/>
    <mergeCell ref="P451:Q451"/>
    <mergeCell ref="R451:S451"/>
    <mergeCell ref="T451:U451"/>
    <mergeCell ref="E451:F451"/>
    <mergeCell ref="G451:H451"/>
    <mergeCell ref="I451:J451"/>
    <mergeCell ref="K451:L451"/>
    <mergeCell ref="N450:O450"/>
    <mergeCell ref="P450:Q450"/>
    <mergeCell ref="R450:S450"/>
    <mergeCell ref="T450:U450"/>
    <mergeCell ref="E450:F450"/>
    <mergeCell ref="G450:H450"/>
    <mergeCell ref="I450:J450"/>
    <mergeCell ref="K450:L450"/>
    <mergeCell ref="N449:O449"/>
    <mergeCell ref="P449:Q449"/>
    <mergeCell ref="R449:S449"/>
    <mergeCell ref="T449:U449"/>
    <mergeCell ref="E449:F449"/>
    <mergeCell ref="G449:H449"/>
    <mergeCell ref="I449:J449"/>
    <mergeCell ref="K449:L449"/>
    <mergeCell ref="T447:U447"/>
    <mergeCell ref="E448:F448"/>
    <mergeCell ref="G448:H448"/>
    <mergeCell ref="I448:J448"/>
    <mergeCell ref="K448:L448"/>
    <mergeCell ref="N448:O448"/>
    <mergeCell ref="P448:Q448"/>
    <mergeCell ref="R448:S448"/>
    <mergeCell ref="T448:U448"/>
    <mergeCell ref="M446:M447"/>
    <mergeCell ref="T446:U446"/>
    <mergeCell ref="D447:F447"/>
    <mergeCell ref="V446:V447"/>
    <mergeCell ref="W446:Y446"/>
    <mergeCell ref="G447:H447"/>
    <mergeCell ref="I447:J447"/>
    <mergeCell ref="K447:L447"/>
    <mergeCell ref="N447:O447"/>
    <mergeCell ref="P447:Q447"/>
    <mergeCell ref="R447:S447"/>
    <mergeCell ref="N446:O446"/>
    <mergeCell ref="P446:Q446"/>
    <mergeCell ref="R446:S446"/>
    <mergeCell ref="E446:F446"/>
    <mergeCell ref="G446:H446"/>
    <mergeCell ref="I446:J446"/>
    <mergeCell ref="K446:L446"/>
    <mergeCell ref="J445:L445"/>
    <mergeCell ref="M445:O445"/>
    <mergeCell ref="P445:Q445"/>
    <mergeCell ref="R445:Y445"/>
    <mergeCell ref="A445:B445"/>
    <mergeCell ref="C445:D445"/>
    <mergeCell ref="E445:G445"/>
    <mergeCell ref="H445:I445"/>
    <mergeCell ref="A443:Y443"/>
    <mergeCell ref="A444:B444"/>
    <mergeCell ref="C444:D444"/>
    <mergeCell ref="E444:G444"/>
    <mergeCell ref="H444:L444"/>
    <mergeCell ref="M444:O444"/>
    <mergeCell ref="P444:Y444"/>
    <mergeCell ref="S438:Y438"/>
    <mergeCell ref="E439:F439"/>
    <mergeCell ref="I439:L439"/>
    <mergeCell ref="M439:P439"/>
    <mergeCell ref="Q439:R439"/>
    <mergeCell ref="E438:F438"/>
    <mergeCell ref="I438:L438"/>
    <mergeCell ref="M438:P438"/>
    <mergeCell ref="Q438:R438"/>
    <mergeCell ref="E437:F437"/>
    <mergeCell ref="I437:L437"/>
    <mergeCell ref="M437:P437"/>
    <mergeCell ref="Q437:R437"/>
    <mergeCell ref="E440:F440"/>
    <mergeCell ref="I440:L440"/>
    <mergeCell ref="M440:P440"/>
    <mergeCell ref="Q440:R440"/>
    <mergeCell ref="E436:F436"/>
    <mergeCell ref="I436:L436"/>
    <mergeCell ref="M436:P436"/>
    <mergeCell ref="Q436:R436"/>
    <mergeCell ref="E435:F435"/>
    <mergeCell ref="I435:L435"/>
    <mergeCell ref="M435:P435"/>
    <mergeCell ref="Q435:R435"/>
    <mergeCell ref="E434:F434"/>
    <mergeCell ref="I434:L434"/>
    <mergeCell ref="M434:P434"/>
    <mergeCell ref="Q434:R434"/>
    <mergeCell ref="E433:F433"/>
    <mergeCell ref="I433:L433"/>
    <mergeCell ref="M433:P433"/>
    <mergeCell ref="Q433:R433"/>
    <mergeCell ref="A431:F431"/>
    <mergeCell ref="G431:R431"/>
    <mergeCell ref="S431:Y431"/>
    <mergeCell ref="E432:F432"/>
    <mergeCell ref="I432:L432"/>
    <mergeCell ref="M432:P432"/>
    <mergeCell ref="Q432:R432"/>
    <mergeCell ref="N429:O429"/>
    <mergeCell ref="P429:Q429"/>
    <mergeCell ref="R429:S429"/>
    <mergeCell ref="T429:U429"/>
    <mergeCell ref="E429:F429"/>
    <mergeCell ref="G429:H429"/>
    <mergeCell ref="I429:J429"/>
    <mergeCell ref="K429:L429"/>
    <mergeCell ref="N428:O428"/>
    <mergeCell ref="P428:Q428"/>
    <mergeCell ref="R428:S428"/>
    <mergeCell ref="T428:U428"/>
    <mergeCell ref="E428:F428"/>
    <mergeCell ref="G428:H428"/>
    <mergeCell ref="I428:J428"/>
    <mergeCell ref="K428:L428"/>
    <mergeCell ref="N427:O427"/>
    <mergeCell ref="P427:Q427"/>
    <mergeCell ref="R427:S427"/>
    <mergeCell ref="T427:U427"/>
    <mergeCell ref="E427:F427"/>
    <mergeCell ref="G427:H427"/>
    <mergeCell ref="I427:J427"/>
    <mergeCell ref="K427:L427"/>
    <mergeCell ref="N426:O426"/>
    <mergeCell ref="P426:Q426"/>
    <mergeCell ref="R426:S426"/>
    <mergeCell ref="T426:U426"/>
    <mergeCell ref="G426:H426"/>
    <mergeCell ref="I426:J426"/>
    <mergeCell ref="K426:L426"/>
    <mergeCell ref="D426:F426"/>
    <mergeCell ref="N425:O425"/>
    <mergeCell ref="P425:Q425"/>
    <mergeCell ref="R425:S425"/>
    <mergeCell ref="T425:U425"/>
    <mergeCell ref="E425:F425"/>
    <mergeCell ref="G425:H425"/>
    <mergeCell ref="I425:J425"/>
    <mergeCell ref="K425:L425"/>
    <mergeCell ref="N424:O424"/>
    <mergeCell ref="P424:Q424"/>
    <mergeCell ref="R424:S424"/>
    <mergeCell ref="T424:U424"/>
    <mergeCell ref="E424:F424"/>
    <mergeCell ref="G424:H424"/>
    <mergeCell ref="I424:J424"/>
    <mergeCell ref="K424:L424"/>
    <mergeCell ref="N423:O423"/>
    <mergeCell ref="P423:Q423"/>
    <mergeCell ref="R423:S423"/>
    <mergeCell ref="T423:U423"/>
    <mergeCell ref="E423:F423"/>
    <mergeCell ref="G423:H423"/>
    <mergeCell ref="I423:J423"/>
    <mergeCell ref="K423:L423"/>
    <mergeCell ref="N422:O422"/>
    <mergeCell ref="P422:Q422"/>
    <mergeCell ref="R422:S422"/>
    <mergeCell ref="T422:U422"/>
    <mergeCell ref="E422:F422"/>
    <mergeCell ref="G422:H422"/>
    <mergeCell ref="I422:J422"/>
    <mergeCell ref="K422:L422"/>
    <mergeCell ref="N421:O421"/>
    <mergeCell ref="P421:Q421"/>
    <mergeCell ref="R421:S421"/>
    <mergeCell ref="T421:U421"/>
    <mergeCell ref="E421:F421"/>
    <mergeCell ref="G421:H421"/>
    <mergeCell ref="I421:J421"/>
    <mergeCell ref="K421:L421"/>
    <mergeCell ref="N420:O420"/>
    <mergeCell ref="P420:Q420"/>
    <mergeCell ref="R420:S420"/>
    <mergeCell ref="T420:U420"/>
    <mergeCell ref="E420:F420"/>
    <mergeCell ref="G420:H420"/>
    <mergeCell ref="I420:J420"/>
    <mergeCell ref="K420:L420"/>
    <mergeCell ref="N419:O419"/>
    <mergeCell ref="P419:Q419"/>
    <mergeCell ref="R419:S419"/>
    <mergeCell ref="T419:U419"/>
    <mergeCell ref="E419:F419"/>
    <mergeCell ref="G419:H419"/>
    <mergeCell ref="I419:J419"/>
    <mergeCell ref="K419:L419"/>
    <mergeCell ref="N418:O418"/>
    <mergeCell ref="P418:Q418"/>
    <mergeCell ref="R418:S418"/>
    <mergeCell ref="T418:U418"/>
    <mergeCell ref="E418:F418"/>
    <mergeCell ref="G418:H418"/>
    <mergeCell ref="I418:J418"/>
    <mergeCell ref="K418:L418"/>
    <mergeCell ref="N417:O417"/>
    <mergeCell ref="P417:Q417"/>
    <mergeCell ref="R417:S417"/>
    <mergeCell ref="T417:U417"/>
    <mergeCell ref="E417:F417"/>
    <mergeCell ref="G417:H417"/>
    <mergeCell ref="I417:J417"/>
    <mergeCell ref="K417:L417"/>
    <mergeCell ref="N416:O416"/>
    <mergeCell ref="P416:Q416"/>
    <mergeCell ref="R416:S416"/>
    <mergeCell ref="T416:U416"/>
    <mergeCell ref="E416:F416"/>
    <mergeCell ref="G416:H416"/>
    <mergeCell ref="I416:J416"/>
    <mergeCell ref="K416:L416"/>
    <mergeCell ref="N415:O415"/>
    <mergeCell ref="P415:Q415"/>
    <mergeCell ref="R415:S415"/>
    <mergeCell ref="T415:U415"/>
    <mergeCell ref="E415:F415"/>
    <mergeCell ref="G415:H415"/>
    <mergeCell ref="I415:J415"/>
    <mergeCell ref="K415:L415"/>
    <mergeCell ref="T413:U413"/>
    <mergeCell ref="E414:F414"/>
    <mergeCell ref="G414:H414"/>
    <mergeCell ref="I414:J414"/>
    <mergeCell ref="K414:L414"/>
    <mergeCell ref="N414:O414"/>
    <mergeCell ref="P414:Q414"/>
    <mergeCell ref="R414:S414"/>
    <mergeCell ref="T414:U414"/>
    <mergeCell ref="M412:M413"/>
    <mergeCell ref="T412:U412"/>
    <mergeCell ref="D413:F413"/>
    <mergeCell ref="V412:V413"/>
    <mergeCell ref="W412:Y412"/>
    <mergeCell ref="G413:H413"/>
    <mergeCell ref="I413:J413"/>
    <mergeCell ref="K413:L413"/>
    <mergeCell ref="N413:O413"/>
    <mergeCell ref="P413:Q413"/>
    <mergeCell ref="R413:S413"/>
    <mergeCell ref="N412:O412"/>
    <mergeCell ref="P412:Q412"/>
    <mergeCell ref="R412:S412"/>
    <mergeCell ref="E412:F412"/>
    <mergeCell ref="G412:H412"/>
    <mergeCell ref="I412:J412"/>
    <mergeCell ref="K412:L412"/>
    <mergeCell ref="J411:L411"/>
    <mergeCell ref="M411:O411"/>
    <mergeCell ref="P411:Q411"/>
    <mergeCell ref="R411:Y411"/>
    <mergeCell ref="A411:B411"/>
    <mergeCell ref="C411:D411"/>
    <mergeCell ref="E411:G411"/>
    <mergeCell ref="H411:I411"/>
    <mergeCell ref="A409:Y409"/>
    <mergeCell ref="A410:B410"/>
    <mergeCell ref="C410:D410"/>
    <mergeCell ref="E410:G410"/>
    <mergeCell ref="H410:L410"/>
    <mergeCell ref="M410:O410"/>
    <mergeCell ref="P410:Y410"/>
    <mergeCell ref="S404:Y404"/>
    <mergeCell ref="E405:F405"/>
    <mergeCell ref="I405:L405"/>
    <mergeCell ref="M405:P405"/>
    <mergeCell ref="Q405:R405"/>
    <mergeCell ref="E404:F404"/>
    <mergeCell ref="I404:L404"/>
    <mergeCell ref="M404:P404"/>
    <mergeCell ref="Q404:R404"/>
    <mergeCell ref="E403:F403"/>
    <mergeCell ref="I403:L403"/>
    <mergeCell ref="M403:P403"/>
    <mergeCell ref="Q403:R403"/>
    <mergeCell ref="E406:F406"/>
    <mergeCell ref="I406:L406"/>
    <mergeCell ref="M406:P406"/>
    <mergeCell ref="Q406:R406"/>
    <mergeCell ref="E402:F402"/>
    <mergeCell ref="I402:L402"/>
    <mergeCell ref="M402:P402"/>
    <mergeCell ref="Q402:R402"/>
    <mergeCell ref="E401:F401"/>
    <mergeCell ref="I401:L401"/>
    <mergeCell ref="M401:P401"/>
    <mergeCell ref="Q401:R401"/>
    <mergeCell ref="E400:F400"/>
    <mergeCell ref="I400:L400"/>
    <mergeCell ref="M400:P400"/>
    <mergeCell ref="Q400:R400"/>
    <mergeCell ref="E399:F399"/>
    <mergeCell ref="I399:L399"/>
    <mergeCell ref="M399:P399"/>
    <mergeCell ref="Q399:R399"/>
    <mergeCell ref="A397:F397"/>
    <mergeCell ref="G397:R397"/>
    <mergeCell ref="S397:Y397"/>
    <mergeCell ref="E398:F398"/>
    <mergeCell ref="I398:L398"/>
    <mergeCell ref="M398:P398"/>
    <mergeCell ref="Q398:R398"/>
    <mergeCell ref="N395:O395"/>
    <mergeCell ref="P395:Q395"/>
    <mergeCell ref="R395:S395"/>
    <mergeCell ref="T395:U395"/>
    <mergeCell ref="E395:F395"/>
    <mergeCell ref="G395:H395"/>
    <mergeCell ref="I395:J395"/>
    <mergeCell ref="K395:L395"/>
    <mergeCell ref="N394:O394"/>
    <mergeCell ref="P394:Q394"/>
    <mergeCell ref="R394:S394"/>
    <mergeCell ref="T394:U394"/>
    <mergeCell ref="E394:F394"/>
    <mergeCell ref="G394:H394"/>
    <mergeCell ref="I394:J394"/>
    <mergeCell ref="K394:L394"/>
    <mergeCell ref="N393:O393"/>
    <mergeCell ref="P393:Q393"/>
    <mergeCell ref="R393:S393"/>
    <mergeCell ref="T393:U393"/>
    <mergeCell ref="E393:F393"/>
    <mergeCell ref="G393:H393"/>
    <mergeCell ref="I393:J393"/>
    <mergeCell ref="K393:L393"/>
    <mergeCell ref="N392:O392"/>
    <mergeCell ref="P392:Q392"/>
    <mergeCell ref="R392:S392"/>
    <mergeCell ref="T392:U392"/>
    <mergeCell ref="G392:H392"/>
    <mergeCell ref="I392:J392"/>
    <mergeCell ref="K392:L392"/>
    <mergeCell ref="N391:O391"/>
    <mergeCell ref="P391:Q391"/>
    <mergeCell ref="R391:S391"/>
    <mergeCell ref="T391:U391"/>
    <mergeCell ref="G391:H391"/>
    <mergeCell ref="I391:J391"/>
    <mergeCell ref="K391:L391"/>
    <mergeCell ref="N388:O388"/>
    <mergeCell ref="P388:Q388"/>
    <mergeCell ref="R388:S388"/>
    <mergeCell ref="T388:U388"/>
    <mergeCell ref="E388:F388"/>
    <mergeCell ref="G388:H388"/>
    <mergeCell ref="I388:J388"/>
    <mergeCell ref="K388:L388"/>
    <mergeCell ref="N387:O387"/>
    <mergeCell ref="P387:Q387"/>
    <mergeCell ref="R387:S387"/>
    <mergeCell ref="T387:U387"/>
    <mergeCell ref="E387:F387"/>
    <mergeCell ref="G387:H387"/>
    <mergeCell ref="I387:J387"/>
    <mergeCell ref="K387:L387"/>
    <mergeCell ref="N386:O386"/>
    <mergeCell ref="P386:Q386"/>
    <mergeCell ref="R386:S386"/>
    <mergeCell ref="T386:U386"/>
    <mergeCell ref="E386:F386"/>
    <mergeCell ref="G386:H386"/>
    <mergeCell ref="I386:J386"/>
    <mergeCell ref="K386:L386"/>
    <mergeCell ref="N385:O385"/>
    <mergeCell ref="P385:Q385"/>
    <mergeCell ref="R385:S385"/>
    <mergeCell ref="T385:U385"/>
    <mergeCell ref="E385:F385"/>
    <mergeCell ref="G385:H385"/>
    <mergeCell ref="I385:J385"/>
    <mergeCell ref="K385:L385"/>
    <mergeCell ref="N384:O384"/>
    <mergeCell ref="P384:Q384"/>
    <mergeCell ref="R384:S384"/>
    <mergeCell ref="T384:U384"/>
    <mergeCell ref="E384:F384"/>
    <mergeCell ref="G384:H384"/>
    <mergeCell ref="I384:J384"/>
    <mergeCell ref="K384:L384"/>
    <mergeCell ref="N383:O383"/>
    <mergeCell ref="P383:Q383"/>
    <mergeCell ref="R383:S383"/>
    <mergeCell ref="T383:U383"/>
    <mergeCell ref="E383:F383"/>
    <mergeCell ref="G383:H383"/>
    <mergeCell ref="I383:J383"/>
    <mergeCell ref="K383:L383"/>
    <mergeCell ref="N382:O382"/>
    <mergeCell ref="P382:Q382"/>
    <mergeCell ref="R382:S382"/>
    <mergeCell ref="T382:U382"/>
    <mergeCell ref="E382:F382"/>
    <mergeCell ref="G382:H382"/>
    <mergeCell ref="I382:J382"/>
    <mergeCell ref="K382:L382"/>
    <mergeCell ref="N381:O381"/>
    <mergeCell ref="P381:Q381"/>
    <mergeCell ref="R381:S381"/>
    <mergeCell ref="T381:U381"/>
    <mergeCell ref="E381:F381"/>
    <mergeCell ref="G381:H381"/>
    <mergeCell ref="I381:J381"/>
    <mergeCell ref="K381:L381"/>
    <mergeCell ref="N380:O380"/>
    <mergeCell ref="P380:Q380"/>
    <mergeCell ref="R380:S380"/>
    <mergeCell ref="T380:U380"/>
    <mergeCell ref="E380:F380"/>
    <mergeCell ref="G380:H380"/>
    <mergeCell ref="I380:J380"/>
    <mergeCell ref="K380:L380"/>
    <mergeCell ref="T378:U378"/>
    <mergeCell ref="E379:F379"/>
    <mergeCell ref="G379:H379"/>
    <mergeCell ref="I379:J379"/>
    <mergeCell ref="K379:L379"/>
    <mergeCell ref="N379:O379"/>
    <mergeCell ref="P379:Q379"/>
    <mergeCell ref="R379:S379"/>
    <mergeCell ref="T379:U379"/>
    <mergeCell ref="M377:M378"/>
    <mergeCell ref="T377:U377"/>
    <mergeCell ref="D378:F378"/>
    <mergeCell ref="V377:V378"/>
    <mergeCell ref="W377:Y377"/>
    <mergeCell ref="G378:H378"/>
    <mergeCell ref="I378:J378"/>
    <mergeCell ref="K378:L378"/>
    <mergeCell ref="N378:O378"/>
    <mergeCell ref="P378:Q378"/>
    <mergeCell ref="R378:S378"/>
    <mergeCell ref="N377:O377"/>
    <mergeCell ref="P377:Q377"/>
    <mergeCell ref="R377:S377"/>
    <mergeCell ref="E377:F377"/>
    <mergeCell ref="G377:H377"/>
    <mergeCell ref="I377:J377"/>
    <mergeCell ref="K377:L377"/>
    <mergeCell ref="J376:L376"/>
    <mergeCell ref="M376:O376"/>
    <mergeCell ref="P376:Q376"/>
    <mergeCell ref="R376:Y376"/>
    <mergeCell ref="A376:B376"/>
    <mergeCell ref="C376:D376"/>
    <mergeCell ref="E376:G376"/>
    <mergeCell ref="H376:I376"/>
    <mergeCell ref="A374:Y374"/>
    <mergeCell ref="A375:B375"/>
    <mergeCell ref="C375:D375"/>
    <mergeCell ref="E375:G375"/>
    <mergeCell ref="H375:L375"/>
    <mergeCell ref="M375:O375"/>
    <mergeCell ref="P375:Y375"/>
    <mergeCell ref="S369:Y369"/>
    <mergeCell ref="E370:F370"/>
    <mergeCell ref="I370:L370"/>
    <mergeCell ref="M370:P370"/>
    <mergeCell ref="Q370:R370"/>
    <mergeCell ref="E369:F369"/>
    <mergeCell ref="I369:L369"/>
    <mergeCell ref="M369:P369"/>
    <mergeCell ref="Q369:R369"/>
    <mergeCell ref="I368:L368"/>
    <mergeCell ref="M368:P368"/>
    <mergeCell ref="Q368:R368"/>
    <mergeCell ref="E371:F371"/>
    <mergeCell ref="I371:L371"/>
    <mergeCell ref="M371:P371"/>
    <mergeCell ref="Q371:R371"/>
    <mergeCell ref="E367:F367"/>
    <mergeCell ref="I367:L367"/>
    <mergeCell ref="M367:P367"/>
    <mergeCell ref="Q367:R367"/>
    <mergeCell ref="E366:F366"/>
    <mergeCell ref="I366:L366"/>
    <mergeCell ref="M366:P366"/>
    <mergeCell ref="Q366:R366"/>
    <mergeCell ref="E365:F365"/>
    <mergeCell ref="I365:L365"/>
    <mergeCell ref="M365:P365"/>
    <mergeCell ref="Q365:R365"/>
    <mergeCell ref="E368:F368"/>
    <mergeCell ref="I364:L364"/>
    <mergeCell ref="M364:P364"/>
    <mergeCell ref="Q364:R364"/>
    <mergeCell ref="A362:F362"/>
    <mergeCell ref="G362:R362"/>
    <mergeCell ref="S362:Y362"/>
    <mergeCell ref="E363:F363"/>
    <mergeCell ref="I363:L363"/>
    <mergeCell ref="M363:P363"/>
    <mergeCell ref="Q363:R363"/>
    <mergeCell ref="N360:O360"/>
    <mergeCell ref="P360:Q360"/>
    <mergeCell ref="R360:S360"/>
    <mergeCell ref="T360:U360"/>
    <mergeCell ref="E360:F360"/>
    <mergeCell ref="G360:H360"/>
    <mergeCell ref="I360:J360"/>
    <mergeCell ref="K360:L360"/>
    <mergeCell ref="E364:F364"/>
    <mergeCell ref="N359:O359"/>
    <mergeCell ref="P359:Q359"/>
    <mergeCell ref="R359:S359"/>
    <mergeCell ref="T359:U359"/>
    <mergeCell ref="E359:F359"/>
    <mergeCell ref="G359:H359"/>
    <mergeCell ref="I359:J359"/>
    <mergeCell ref="K359:L359"/>
    <mergeCell ref="N358:O358"/>
    <mergeCell ref="P358:Q358"/>
    <mergeCell ref="R358:S358"/>
    <mergeCell ref="T358:U358"/>
    <mergeCell ref="E358:F358"/>
    <mergeCell ref="G358:H358"/>
    <mergeCell ref="I358:J358"/>
    <mergeCell ref="K358:L358"/>
    <mergeCell ref="N357:O357"/>
    <mergeCell ref="P357:Q357"/>
    <mergeCell ref="R357:S357"/>
    <mergeCell ref="T357:U357"/>
    <mergeCell ref="E357:F357"/>
    <mergeCell ref="G357:H357"/>
    <mergeCell ref="I357:J357"/>
    <mergeCell ref="K357:L357"/>
    <mergeCell ref="N356:O356"/>
    <mergeCell ref="P356:Q356"/>
    <mergeCell ref="R356:S356"/>
    <mergeCell ref="T356:U356"/>
    <mergeCell ref="E356:F356"/>
    <mergeCell ref="G356:H356"/>
    <mergeCell ref="I356:J356"/>
    <mergeCell ref="K356:L356"/>
    <mergeCell ref="N355:O355"/>
    <mergeCell ref="P355:Q355"/>
    <mergeCell ref="R355:S355"/>
    <mergeCell ref="T355:U355"/>
    <mergeCell ref="E355:F355"/>
    <mergeCell ref="G355:H355"/>
    <mergeCell ref="I355:J355"/>
    <mergeCell ref="K355:L355"/>
    <mergeCell ref="N354:O354"/>
    <mergeCell ref="P354:Q354"/>
    <mergeCell ref="R354:S354"/>
    <mergeCell ref="T354:U354"/>
    <mergeCell ref="E354:F354"/>
    <mergeCell ref="G354:H354"/>
    <mergeCell ref="I354:J354"/>
    <mergeCell ref="K354:L354"/>
    <mergeCell ref="N353:O353"/>
    <mergeCell ref="P353:Q353"/>
    <mergeCell ref="R353:S353"/>
    <mergeCell ref="T353:U353"/>
    <mergeCell ref="E353:F353"/>
    <mergeCell ref="G353:H353"/>
    <mergeCell ref="I353:J353"/>
    <mergeCell ref="K353:L353"/>
    <mergeCell ref="N352:O352"/>
    <mergeCell ref="P352:Q352"/>
    <mergeCell ref="R352:S352"/>
    <mergeCell ref="T352:U352"/>
    <mergeCell ref="E352:F352"/>
    <mergeCell ref="G352:H352"/>
    <mergeCell ref="I352:J352"/>
    <mergeCell ref="K352:L352"/>
    <mergeCell ref="N351:O351"/>
    <mergeCell ref="P351:Q351"/>
    <mergeCell ref="R351:S351"/>
    <mergeCell ref="T351:U351"/>
    <mergeCell ref="E351:F351"/>
    <mergeCell ref="G351:H351"/>
    <mergeCell ref="I351:J351"/>
    <mergeCell ref="K351:L351"/>
    <mergeCell ref="N350:O350"/>
    <mergeCell ref="P350:Q350"/>
    <mergeCell ref="R350:S350"/>
    <mergeCell ref="T350:U350"/>
    <mergeCell ref="E350:F350"/>
    <mergeCell ref="G350:H350"/>
    <mergeCell ref="I350:J350"/>
    <mergeCell ref="K350:L350"/>
    <mergeCell ref="N349:O349"/>
    <mergeCell ref="P349:Q349"/>
    <mergeCell ref="R349:S349"/>
    <mergeCell ref="T349:U349"/>
    <mergeCell ref="E349:F349"/>
    <mergeCell ref="G349:H349"/>
    <mergeCell ref="I349:J349"/>
    <mergeCell ref="K349:L349"/>
    <mergeCell ref="N348:O348"/>
    <mergeCell ref="P348:Q348"/>
    <mergeCell ref="R348:S348"/>
    <mergeCell ref="T348:U348"/>
    <mergeCell ref="E348:F348"/>
    <mergeCell ref="G348:H348"/>
    <mergeCell ref="I348:J348"/>
    <mergeCell ref="K348:L348"/>
    <mergeCell ref="N347:O347"/>
    <mergeCell ref="P347:Q347"/>
    <mergeCell ref="R347:S347"/>
    <mergeCell ref="T347:U347"/>
    <mergeCell ref="E347:F347"/>
    <mergeCell ref="G347:H347"/>
    <mergeCell ref="I347:J347"/>
    <mergeCell ref="K347:L347"/>
    <mergeCell ref="N346:O346"/>
    <mergeCell ref="P346:Q346"/>
    <mergeCell ref="R346:S346"/>
    <mergeCell ref="T346:U346"/>
    <mergeCell ref="E346:F346"/>
    <mergeCell ref="G346:H346"/>
    <mergeCell ref="I346:J346"/>
    <mergeCell ref="K346:L346"/>
    <mergeCell ref="T344:U344"/>
    <mergeCell ref="E345:F345"/>
    <mergeCell ref="G345:H345"/>
    <mergeCell ref="I345:J345"/>
    <mergeCell ref="K345:L345"/>
    <mergeCell ref="N345:O345"/>
    <mergeCell ref="P345:Q345"/>
    <mergeCell ref="R345:S345"/>
    <mergeCell ref="T345:U345"/>
    <mergeCell ref="M343:M344"/>
    <mergeCell ref="T343:U343"/>
    <mergeCell ref="D344:F344"/>
    <mergeCell ref="V343:V344"/>
    <mergeCell ref="W343:Y343"/>
    <mergeCell ref="G344:H344"/>
    <mergeCell ref="I344:J344"/>
    <mergeCell ref="K344:L344"/>
    <mergeCell ref="N344:O344"/>
    <mergeCell ref="P344:Q344"/>
    <mergeCell ref="R344:S344"/>
    <mergeCell ref="N343:O343"/>
    <mergeCell ref="P343:Q343"/>
    <mergeCell ref="R343:S343"/>
    <mergeCell ref="E343:F343"/>
    <mergeCell ref="G343:H343"/>
    <mergeCell ref="I343:J343"/>
    <mergeCell ref="K343:L343"/>
    <mergeCell ref="J342:L342"/>
    <mergeCell ref="M342:O342"/>
    <mergeCell ref="P342:Q342"/>
    <mergeCell ref="R342:Y342"/>
    <mergeCell ref="A342:B342"/>
    <mergeCell ref="C342:D342"/>
    <mergeCell ref="E342:G342"/>
    <mergeCell ref="H342:I342"/>
    <mergeCell ref="A340:Y340"/>
    <mergeCell ref="A341:B341"/>
    <mergeCell ref="C341:D341"/>
    <mergeCell ref="E341:G341"/>
    <mergeCell ref="H341:L341"/>
    <mergeCell ref="M341:O341"/>
    <mergeCell ref="P341:Y341"/>
    <mergeCell ref="S335:Y335"/>
    <mergeCell ref="E336:F336"/>
    <mergeCell ref="I336:L336"/>
    <mergeCell ref="M336:P336"/>
    <mergeCell ref="Q336:R336"/>
    <mergeCell ref="E335:F335"/>
    <mergeCell ref="I335:L335"/>
    <mergeCell ref="M335:P335"/>
    <mergeCell ref="Q335:R335"/>
    <mergeCell ref="I334:L334"/>
    <mergeCell ref="M334:P334"/>
    <mergeCell ref="Q334:R334"/>
    <mergeCell ref="E337:F337"/>
    <mergeCell ref="I337:L337"/>
    <mergeCell ref="M337:P337"/>
    <mergeCell ref="Q337:R337"/>
    <mergeCell ref="E333:F333"/>
    <mergeCell ref="I333:L333"/>
    <mergeCell ref="M333:P333"/>
    <mergeCell ref="Q333:R333"/>
    <mergeCell ref="E332:F332"/>
    <mergeCell ref="I332:L332"/>
    <mergeCell ref="M332:P332"/>
    <mergeCell ref="Q332:R332"/>
    <mergeCell ref="E331:F331"/>
    <mergeCell ref="I331:L331"/>
    <mergeCell ref="M331:P331"/>
    <mergeCell ref="Q331:R331"/>
    <mergeCell ref="E334:F334"/>
    <mergeCell ref="I330:L330"/>
    <mergeCell ref="M330:P330"/>
    <mergeCell ref="Q330:R330"/>
    <mergeCell ref="A328:F328"/>
    <mergeCell ref="G328:R328"/>
    <mergeCell ref="S328:Y328"/>
    <mergeCell ref="E329:F329"/>
    <mergeCell ref="I329:L329"/>
    <mergeCell ref="M329:P329"/>
    <mergeCell ref="Q329:R329"/>
    <mergeCell ref="N326:O326"/>
    <mergeCell ref="P326:Q326"/>
    <mergeCell ref="R326:S326"/>
    <mergeCell ref="T326:U326"/>
    <mergeCell ref="E326:F326"/>
    <mergeCell ref="G326:H326"/>
    <mergeCell ref="I326:J326"/>
    <mergeCell ref="K326:L326"/>
    <mergeCell ref="E330:F330"/>
    <mergeCell ref="N325:O325"/>
    <mergeCell ref="P325:Q325"/>
    <mergeCell ref="R325:S325"/>
    <mergeCell ref="T325:U325"/>
    <mergeCell ref="E325:F325"/>
    <mergeCell ref="G325:H325"/>
    <mergeCell ref="I325:J325"/>
    <mergeCell ref="K325:L325"/>
    <mergeCell ref="N324:O324"/>
    <mergeCell ref="P324:Q324"/>
    <mergeCell ref="R324:S324"/>
    <mergeCell ref="T324:U324"/>
    <mergeCell ref="E324:F324"/>
    <mergeCell ref="G324:H324"/>
    <mergeCell ref="I324:J324"/>
    <mergeCell ref="K324:L324"/>
    <mergeCell ref="N323:O323"/>
    <mergeCell ref="P323:Q323"/>
    <mergeCell ref="R323:S323"/>
    <mergeCell ref="T323:U323"/>
    <mergeCell ref="E323:F323"/>
    <mergeCell ref="G323:H323"/>
    <mergeCell ref="I323:J323"/>
    <mergeCell ref="K323:L323"/>
    <mergeCell ref="N322:O322"/>
    <mergeCell ref="P322:Q322"/>
    <mergeCell ref="R322:S322"/>
    <mergeCell ref="T322:U322"/>
    <mergeCell ref="E322:F322"/>
    <mergeCell ref="G322:H322"/>
    <mergeCell ref="I322:J322"/>
    <mergeCell ref="K322:L322"/>
    <mergeCell ref="N321:O321"/>
    <mergeCell ref="P321:Q321"/>
    <mergeCell ref="R321:S321"/>
    <mergeCell ref="T321:U321"/>
    <mergeCell ref="E321:F321"/>
    <mergeCell ref="G321:H321"/>
    <mergeCell ref="I321:J321"/>
    <mergeCell ref="K321:L321"/>
    <mergeCell ref="N320:O320"/>
    <mergeCell ref="P320:Q320"/>
    <mergeCell ref="R320:S320"/>
    <mergeCell ref="T320:U320"/>
    <mergeCell ref="E320:F320"/>
    <mergeCell ref="G320:H320"/>
    <mergeCell ref="I320:J320"/>
    <mergeCell ref="K320:L320"/>
    <mergeCell ref="N319:O319"/>
    <mergeCell ref="P319:Q319"/>
    <mergeCell ref="R319:S319"/>
    <mergeCell ref="T319:U319"/>
    <mergeCell ref="E319:F319"/>
    <mergeCell ref="G319:H319"/>
    <mergeCell ref="I319:J319"/>
    <mergeCell ref="K319:L319"/>
    <mergeCell ref="N318:O318"/>
    <mergeCell ref="P318:Q318"/>
    <mergeCell ref="R318:S318"/>
    <mergeCell ref="T318:U318"/>
    <mergeCell ref="E318:F318"/>
    <mergeCell ref="G318:H318"/>
    <mergeCell ref="I318:J318"/>
    <mergeCell ref="K318:L318"/>
    <mergeCell ref="N317:O317"/>
    <mergeCell ref="P317:Q317"/>
    <mergeCell ref="R317:S317"/>
    <mergeCell ref="T317:U317"/>
    <mergeCell ref="E317:F317"/>
    <mergeCell ref="G317:H317"/>
    <mergeCell ref="I317:J317"/>
    <mergeCell ref="K317:L317"/>
    <mergeCell ref="N316:O316"/>
    <mergeCell ref="P316:Q316"/>
    <mergeCell ref="R316:S316"/>
    <mergeCell ref="T316:U316"/>
    <mergeCell ref="E316:F316"/>
    <mergeCell ref="G316:H316"/>
    <mergeCell ref="I316:J316"/>
    <mergeCell ref="K316:L316"/>
    <mergeCell ref="N315:O315"/>
    <mergeCell ref="P315:Q315"/>
    <mergeCell ref="R315:S315"/>
    <mergeCell ref="T315:U315"/>
    <mergeCell ref="E315:F315"/>
    <mergeCell ref="G315:H315"/>
    <mergeCell ref="I315:J315"/>
    <mergeCell ref="K315:L315"/>
    <mergeCell ref="N314:O314"/>
    <mergeCell ref="P314:Q314"/>
    <mergeCell ref="R314:S314"/>
    <mergeCell ref="T314:U314"/>
    <mergeCell ref="E314:F314"/>
    <mergeCell ref="G314:H314"/>
    <mergeCell ref="I314:J314"/>
    <mergeCell ref="K314:L314"/>
    <mergeCell ref="T312:U312"/>
    <mergeCell ref="E313:F313"/>
    <mergeCell ref="G313:H313"/>
    <mergeCell ref="I313:J313"/>
    <mergeCell ref="K313:L313"/>
    <mergeCell ref="N313:O313"/>
    <mergeCell ref="P313:Q313"/>
    <mergeCell ref="R313:S313"/>
    <mergeCell ref="T313:U313"/>
    <mergeCell ref="M311:M312"/>
    <mergeCell ref="T311:U311"/>
    <mergeCell ref="V311:V312"/>
    <mergeCell ref="W311:Y311"/>
    <mergeCell ref="G312:H312"/>
    <mergeCell ref="I312:J312"/>
    <mergeCell ref="K312:L312"/>
    <mergeCell ref="N312:O312"/>
    <mergeCell ref="P312:Q312"/>
    <mergeCell ref="R312:S312"/>
    <mergeCell ref="N311:O311"/>
    <mergeCell ref="P311:Q311"/>
    <mergeCell ref="R311:S311"/>
    <mergeCell ref="E311:F311"/>
    <mergeCell ref="G311:H311"/>
    <mergeCell ref="I311:J311"/>
    <mergeCell ref="K311:L311"/>
    <mergeCell ref="D312:F312"/>
    <mergeCell ref="J310:L310"/>
    <mergeCell ref="M310:O310"/>
    <mergeCell ref="P310:Q310"/>
    <mergeCell ref="R310:Y310"/>
    <mergeCell ref="A310:B310"/>
    <mergeCell ref="C310:D310"/>
    <mergeCell ref="E310:G310"/>
    <mergeCell ref="H310:I310"/>
    <mergeCell ref="A308:Y308"/>
    <mergeCell ref="A309:B309"/>
    <mergeCell ref="C309:D309"/>
    <mergeCell ref="E309:G309"/>
    <mergeCell ref="H309:L309"/>
    <mergeCell ref="M309:O309"/>
    <mergeCell ref="P309:Y309"/>
    <mergeCell ref="S303:Y303"/>
    <mergeCell ref="E304:F304"/>
    <mergeCell ref="I304:L304"/>
    <mergeCell ref="M304:P304"/>
    <mergeCell ref="Q304:R304"/>
    <mergeCell ref="E303:F303"/>
    <mergeCell ref="I303:L303"/>
    <mergeCell ref="M303:P303"/>
    <mergeCell ref="Q303:R303"/>
    <mergeCell ref="I302:L302"/>
    <mergeCell ref="M302:P302"/>
    <mergeCell ref="Q302:R302"/>
    <mergeCell ref="E305:F305"/>
    <mergeCell ref="I305:L305"/>
    <mergeCell ref="M305:P305"/>
    <mergeCell ref="Q305:R305"/>
    <mergeCell ref="E301:F301"/>
    <mergeCell ref="I301:L301"/>
    <mergeCell ref="M301:P301"/>
    <mergeCell ref="Q301:R301"/>
    <mergeCell ref="E300:F300"/>
    <mergeCell ref="I300:L300"/>
    <mergeCell ref="M300:P300"/>
    <mergeCell ref="Q300:R300"/>
    <mergeCell ref="E299:F299"/>
    <mergeCell ref="I299:L299"/>
    <mergeCell ref="M299:P299"/>
    <mergeCell ref="Q299:R299"/>
    <mergeCell ref="E302:F302"/>
    <mergeCell ref="I298:L298"/>
    <mergeCell ref="M298:P298"/>
    <mergeCell ref="Q298:R298"/>
    <mergeCell ref="A296:F296"/>
    <mergeCell ref="G296:R296"/>
    <mergeCell ref="S296:Y296"/>
    <mergeCell ref="E297:F297"/>
    <mergeCell ref="I297:L297"/>
    <mergeCell ref="M297:P297"/>
    <mergeCell ref="Q297:R297"/>
    <mergeCell ref="N294:O294"/>
    <mergeCell ref="P294:Q294"/>
    <mergeCell ref="R294:S294"/>
    <mergeCell ref="T294:U294"/>
    <mergeCell ref="E294:F294"/>
    <mergeCell ref="G294:H294"/>
    <mergeCell ref="I294:J294"/>
    <mergeCell ref="K294:L294"/>
    <mergeCell ref="E298:F298"/>
    <mergeCell ref="N292:O292"/>
    <mergeCell ref="P292:Q292"/>
    <mergeCell ref="R292:S292"/>
    <mergeCell ref="T292:U292"/>
    <mergeCell ref="E292:F292"/>
    <mergeCell ref="G292:H292"/>
    <mergeCell ref="I292:J292"/>
    <mergeCell ref="K292:L292"/>
    <mergeCell ref="N291:O291"/>
    <mergeCell ref="P291:Q291"/>
    <mergeCell ref="R291:S291"/>
    <mergeCell ref="T291:U291"/>
    <mergeCell ref="E291:F291"/>
    <mergeCell ref="G291:H291"/>
    <mergeCell ref="I291:J291"/>
    <mergeCell ref="K291:L291"/>
    <mergeCell ref="N290:O290"/>
    <mergeCell ref="P290:Q290"/>
    <mergeCell ref="R290:S290"/>
    <mergeCell ref="T290:U290"/>
    <mergeCell ref="G290:H290"/>
    <mergeCell ref="I290:J290"/>
    <mergeCell ref="K290:L290"/>
    <mergeCell ref="N289:O289"/>
    <mergeCell ref="P289:Q289"/>
    <mergeCell ref="R289:S289"/>
    <mergeCell ref="T289:U289"/>
    <mergeCell ref="G289:H289"/>
    <mergeCell ref="I289:J289"/>
    <mergeCell ref="K289:L289"/>
    <mergeCell ref="N288:O288"/>
    <mergeCell ref="P288:Q288"/>
    <mergeCell ref="R288:S288"/>
    <mergeCell ref="T288:U288"/>
    <mergeCell ref="E288:F288"/>
    <mergeCell ref="G288:H288"/>
    <mergeCell ref="I288:J288"/>
    <mergeCell ref="K288:L288"/>
    <mergeCell ref="N287:O287"/>
    <mergeCell ref="P287:Q287"/>
    <mergeCell ref="R287:S287"/>
    <mergeCell ref="T287:U287"/>
    <mergeCell ref="E287:F287"/>
    <mergeCell ref="G287:H287"/>
    <mergeCell ref="I287:J287"/>
    <mergeCell ref="K287:L287"/>
    <mergeCell ref="N286:O286"/>
    <mergeCell ref="P286:Q286"/>
    <mergeCell ref="R286:S286"/>
    <mergeCell ref="T286:U286"/>
    <mergeCell ref="E286:F286"/>
    <mergeCell ref="G286:H286"/>
    <mergeCell ref="I286:J286"/>
    <mergeCell ref="K286:L286"/>
    <mergeCell ref="N285:O285"/>
    <mergeCell ref="P285:Q285"/>
    <mergeCell ref="R285:S285"/>
    <mergeCell ref="T285:U285"/>
    <mergeCell ref="E285:F285"/>
    <mergeCell ref="G285:H285"/>
    <mergeCell ref="I285:J285"/>
    <mergeCell ref="K285:L285"/>
    <mergeCell ref="N284:O284"/>
    <mergeCell ref="P284:Q284"/>
    <mergeCell ref="R284:S284"/>
    <mergeCell ref="T284:U284"/>
    <mergeCell ref="E284:F284"/>
    <mergeCell ref="G284:H284"/>
    <mergeCell ref="I284:J284"/>
    <mergeCell ref="K284:L284"/>
    <mergeCell ref="N283:O283"/>
    <mergeCell ref="P283:Q283"/>
    <mergeCell ref="R283:S283"/>
    <mergeCell ref="T283:U283"/>
    <mergeCell ref="E283:F283"/>
    <mergeCell ref="G283:H283"/>
    <mergeCell ref="I283:J283"/>
    <mergeCell ref="K283:L283"/>
    <mergeCell ref="N282:O282"/>
    <mergeCell ref="P282:Q282"/>
    <mergeCell ref="R282:S282"/>
    <mergeCell ref="T282:U282"/>
    <mergeCell ref="E282:F282"/>
    <mergeCell ref="G282:H282"/>
    <mergeCell ref="I282:J282"/>
    <mergeCell ref="K282:L282"/>
    <mergeCell ref="N281:O281"/>
    <mergeCell ref="P281:Q281"/>
    <mergeCell ref="R281:S281"/>
    <mergeCell ref="T281:U281"/>
    <mergeCell ref="E281:F281"/>
    <mergeCell ref="G281:H281"/>
    <mergeCell ref="I281:J281"/>
    <mergeCell ref="K281:L281"/>
    <mergeCell ref="N280:O280"/>
    <mergeCell ref="P280:Q280"/>
    <mergeCell ref="R280:S280"/>
    <mergeCell ref="T280:U280"/>
    <mergeCell ref="E280:F280"/>
    <mergeCell ref="G280:H280"/>
    <mergeCell ref="I280:J280"/>
    <mergeCell ref="K280:L280"/>
    <mergeCell ref="N279:O279"/>
    <mergeCell ref="P279:Q279"/>
    <mergeCell ref="R279:S279"/>
    <mergeCell ref="T279:U279"/>
    <mergeCell ref="E279:F279"/>
    <mergeCell ref="G279:H279"/>
    <mergeCell ref="I279:J279"/>
    <mergeCell ref="K279:L279"/>
    <mergeCell ref="T277:U277"/>
    <mergeCell ref="E278:F278"/>
    <mergeCell ref="G278:H278"/>
    <mergeCell ref="I278:J278"/>
    <mergeCell ref="K278:L278"/>
    <mergeCell ref="N278:O278"/>
    <mergeCell ref="P278:Q278"/>
    <mergeCell ref="R278:S278"/>
    <mergeCell ref="T278:U278"/>
    <mergeCell ref="M276:M277"/>
    <mergeCell ref="T276:U276"/>
    <mergeCell ref="D277:F277"/>
    <mergeCell ref="V276:V277"/>
    <mergeCell ref="W276:Y276"/>
    <mergeCell ref="G277:H277"/>
    <mergeCell ref="I277:J277"/>
    <mergeCell ref="K277:L277"/>
    <mergeCell ref="N277:O277"/>
    <mergeCell ref="P277:Q277"/>
    <mergeCell ref="R277:S277"/>
    <mergeCell ref="N276:O276"/>
    <mergeCell ref="P276:Q276"/>
    <mergeCell ref="R276:S276"/>
    <mergeCell ref="E276:F276"/>
    <mergeCell ref="G276:H276"/>
    <mergeCell ref="I276:J276"/>
    <mergeCell ref="K276:L276"/>
    <mergeCell ref="J275:L275"/>
    <mergeCell ref="M275:O275"/>
    <mergeCell ref="P275:Q275"/>
    <mergeCell ref="R275:Y275"/>
    <mergeCell ref="A275:B275"/>
    <mergeCell ref="C275:D275"/>
    <mergeCell ref="E275:G275"/>
    <mergeCell ref="H275:I275"/>
    <mergeCell ref="A273:Y273"/>
    <mergeCell ref="A274:B274"/>
    <mergeCell ref="C274:D274"/>
    <mergeCell ref="E274:G274"/>
    <mergeCell ref="H274:L274"/>
    <mergeCell ref="M274:O274"/>
    <mergeCell ref="P274:Y274"/>
    <mergeCell ref="S268:Y268"/>
    <mergeCell ref="E269:F269"/>
    <mergeCell ref="I269:L269"/>
    <mergeCell ref="M269:P269"/>
    <mergeCell ref="Q269:R269"/>
    <mergeCell ref="E268:F268"/>
    <mergeCell ref="I268:L268"/>
    <mergeCell ref="M268:P268"/>
    <mergeCell ref="Q268:R268"/>
    <mergeCell ref="I267:L267"/>
    <mergeCell ref="M267:P267"/>
    <mergeCell ref="Q267:R267"/>
    <mergeCell ref="E270:F270"/>
    <mergeCell ref="I270:L270"/>
    <mergeCell ref="M270:P270"/>
    <mergeCell ref="Q270:R270"/>
    <mergeCell ref="E266:F266"/>
    <mergeCell ref="I266:L266"/>
    <mergeCell ref="M266:P266"/>
    <mergeCell ref="Q266:R266"/>
    <mergeCell ref="E265:F265"/>
    <mergeCell ref="I265:L265"/>
    <mergeCell ref="M265:P265"/>
    <mergeCell ref="Q265:R265"/>
    <mergeCell ref="E264:F264"/>
    <mergeCell ref="I264:L264"/>
    <mergeCell ref="M264:P264"/>
    <mergeCell ref="Q264:R264"/>
    <mergeCell ref="E267:F267"/>
    <mergeCell ref="I263:L263"/>
    <mergeCell ref="M263:P263"/>
    <mergeCell ref="Q263:R263"/>
    <mergeCell ref="A261:F261"/>
    <mergeCell ref="G261:R261"/>
    <mergeCell ref="S261:Y261"/>
    <mergeCell ref="E262:F262"/>
    <mergeCell ref="I262:L262"/>
    <mergeCell ref="M262:P262"/>
    <mergeCell ref="Q262:R262"/>
    <mergeCell ref="N259:O259"/>
    <mergeCell ref="P259:Q259"/>
    <mergeCell ref="R259:S259"/>
    <mergeCell ref="T259:U259"/>
    <mergeCell ref="E259:F259"/>
    <mergeCell ref="G259:H259"/>
    <mergeCell ref="I259:J259"/>
    <mergeCell ref="K259:L259"/>
    <mergeCell ref="E263:F263"/>
    <mergeCell ref="N257:O257"/>
    <mergeCell ref="P257:Q257"/>
    <mergeCell ref="R257:S257"/>
    <mergeCell ref="T257:U257"/>
    <mergeCell ref="E257:F257"/>
    <mergeCell ref="G257:H257"/>
    <mergeCell ref="I257:J257"/>
    <mergeCell ref="K257:L257"/>
    <mergeCell ref="N256:O256"/>
    <mergeCell ref="P256:Q256"/>
    <mergeCell ref="R256:S256"/>
    <mergeCell ref="T256:U256"/>
    <mergeCell ref="E256:F256"/>
    <mergeCell ref="G256:H256"/>
    <mergeCell ref="I256:J256"/>
    <mergeCell ref="K256:L256"/>
    <mergeCell ref="N255:O255"/>
    <mergeCell ref="P255:Q255"/>
    <mergeCell ref="R255:S255"/>
    <mergeCell ref="T255:U255"/>
    <mergeCell ref="G255:H255"/>
    <mergeCell ref="I255:J255"/>
    <mergeCell ref="K255:L255"/>
    <mergeCell ref="D255:F255"/>
    <mergeCell ref="N251:O251"/>
    <mergeCell ref="P251:Q251"/>
    <mergeCell ref="R251:S251"/>
    <mergeCell ref="T251:U251"/>
    <mergeCell ref="E251:F251"/>
    <mergeCell ref="G251:H251"/>
    <mergeCell ref="I251:J251"/>
    <mergeCell ref="K251:L251"/>
    <mergeCell ref="N250:O250"/>
    <mergeCell ref="P250:Q250"/>
    <mergeCell ref="R250:S250"/>
    <mergeCell ref="T250:U250"/>
    <mergeCell ref="E250:F250"/>
    <mergeCell ref="G250:H250"/>
    <mergeCell ref="I250:J250"/>
    <mergeCell ref="K250:L250"/>
    <mergeCell ref="N249:O249"/>
    <mergeCell ref="P249:Q249"/>
    <mergeCell ref="R249:S249"/>
    <mergeCell ref="T249:U249"/>
    <mergeCell ref="E249:F249"/>
    <mergeCell ref="G249:H249"/>
    <mergeCell ref="I249:J249"/>
    <mergeCell ref="K249:L249"/>
    <mergeCell ref="N248:O248"/>
    <mergeCell ref="P248:Q248"/>
    <mergeCell ref="R248:S248"/>
    <mergeCell ref="T248:U248"/>
    <mergeCell ref="E248:F248"/>
    <mergeCell ref="G248:H248"/>
    <mergeCell ref="I248:J248"/>
    <mergeCell ref="K248:L248"/>
    <mergeCell ref="N247:O247"/>
    <mergeCell ref="P247:Q247"/>
    <mergeCell ref="R247:S247"/>
    <mergeCell ref="T247:U247"/>
    <mergeCell ref="E247:F247"/>
    <mergeCell ref="G247:H247"/>
    <mergeCell ref="I247:J247"/>
    <mergeCell ref="K247:L247"/>
    <mergeCell ref="N246:O246"/>
    <mergeCell ref="P246:Q246"/>
    <mergeCell ref="R246:S246"/>
    <mergeCell ref="T246:U246"/>
    <mergeCell ref="E246:F246"/>
    <mergeCell ref="G246:H246"/>
    <mergeCell ref="I246:J246"/>
    <mergeCell ref="K246:L246"/>
    <mergeCell ref="N245:O245"/>
    <mergeCell ref="P245:Q245"/>
    <mergeCell ref="R245:S245"/>
    <mergeCell ref="T245:U245"/>
    <mergeCell ref="E245:F245"/>
    <mergeCell ref="G245:H245"/>
    <mergeCell ref="I245:J245"/>
    <mergeCell ref="K245:L245"/>
    <mergeCell ref="T243:U243"/>
    <mergeCell ref="E244:F244"/>
    <mergeCell ref="G244:H244"/>
    <mergeCell ref="I244:J244"/>
    <mergeCell ref="K244:L244"/>
    <mergeCell ref="N244:O244"/>
    <mergeCell ref="P244:Q244"/>
    <mergeCell ref="R244:S244"/>
    <mergeCell ref="T244:U244"/>
    <mergeCell ref="M242:M243"/>
    <mergeCell ref="T242:U242"/>
    <mergeCell ref="V242:V243"/>
    <mergeCell ref="W242:Y242"/>
    <mergeCell ref="G243:H243"/>
    <mergeCell ref="I243:J243"/>
    <mergeCell ref="K243:L243"/>
    <mergeCell ref="N243:O243"/>
    <mergeCell ref="P243:Q243"/>
    <mergeCell ref="R243:S243"/>
    <mergeCell ref="N242:O242"/>
    <mergeCell ref="P242:Q242"/>
    <mergeCell ref="R242:S242"/>
    <mergeCell ref="E242:F242"/>
    <mergeCell ref="G242:H242"/>
    <mergeCell ref="I242:J242"/>
    <mergeCell ref="K242:L242"/>
    <mergeCell ref="J241:L241"/>
    <mergeCell ref="M241:O241"/>
    <mergeCell ref="P241:Q241"/>
    <mergeCell ref="R241:Y241"/>
    <mergeCell ref="A241:B241"/>
    <mergeCell ref="C241:D241"/>
    <mergeCell ref="E241:G241"/>
    <mergeCell ref="H241:I241"/>
    <mergeCell ref="A239:Y239"/>
    <mergeCell ref="A240:B240"/>
    <mergeCell ref="C240:D240"/>
    <mergeCell ref="E240:G240"/>
    <mergeCell ref="H240:L240"/>
    <mergeCell ref="M240:O240"/>
    <mergeCell ref="P240:Y240"/>
    <mergeCell ref="S234:Y234"/>
    <mergeCell ref="E235:F235"/>
    <mergeCell ref="I235:L235"/>
    <mergeCell ref="M235:P235"/>
    <mergeCell ref="Q235:R235"/>
    <mergeCell ref="E234:F234"/>
    <mergeCell ref="I234:L234"/>
    <mergeCell ref="M234:P234"/>
    <mergeCell ref="Q234:R234"/>
    <mergeCell ref="I233:L233"/>
    <mergeCell ref="M233:P233"/>
    <mergeCell ref="Q233:R233"/>
    <mergeCell ref="E236:F236"/>
    <mergeCell ref="I236:L236"/>
    <mergeCell ref="M236:P236"/>
    <mergeCell ref="Q236:R236"/>
    <mergeCell ref="E232:F232"/>
    <mergeCell ref="I232:L232"/>
    <mergeCell ref="M232:P232"/>
    <mergeCell ref="Q232:R232"/>
    <mergeCell ref="E231:F231"/>
    <mergeCell ref="I231:L231"/>
    <mergeCell ref="M231:P231"/>
    <mergeCell ref="Q231:R231"/>
    <mergeCell ref="E230:F230"/>
    <mergeCell ref="I230:L230"/>
    <mergeCell ref="M230:P230"/>
    <mergeCell ref="Q230:R230"/>
    <mergeCell ref="E233:F233"/>
    <mergeCell ref="I229:L229"/>
    <mergeCell ref="M229:P229"/>
    <mergeCell ref="Q229:R229"/>
    <mergeCell ref="A227:F227"/>
    <mergeCell ref="G227:R227"/>
    <mergeCell ref="S227:Y227"/>
    <mergeCell ref="E228:F228"/>
    <mergeCell ref="I228:L228"/>
    <mergeCell ref="M228:P228"/>
    <mergeCell ref="Q228:R228"/>
    <mergeCell ref="N225:O225"/>
    <mergeCell ref="P225:Q225"/>
    <mergeCell ref="R225:S225"/>
    <mergeCell ref="T225:U225"/>
    <mergeCell ref="E225:F225"/>
    <mergeCell ref="G225:H225"/>
    <mergeCell ref="I225:J225"/>
    <mergeCell ref="K225:L225"/>
    <mergeCell ref="E229:F229"/>
    <mergeCell ref="N224:O224"/>
    <mergeCell ref="P224:Q224"/>
    <mergeCell ref="R224:S224"/>
    <mergeCell ref="T224:U224"/>
    <mergeCell ref="E224:F224"/>
    <mergeCell ref="G224:H224"/>
    <mergeCell ref="I224:J224"/>
    <mergeCell ref="K224:L224"/>
    <mergeCell ref="N223:O223"/>
    <mergeCell ref="P223:Q223"/>
    <mergeCell ref="R223:S223"/>
    <mergeCell ref="T223:U223"/>
    <mergeCell ref="E223:F223"/>
    <mergeCell ref="G223:H223"/>
    <mergeCell ref="I223:J223"/>
    <mergeCell ref="K223:L223"/>
    <mergeCell ref="N222:O222"/>
    <mergeCell ref="P222:Q222"/>
    <mergeCell ref="R222:S222"/>
    <mergeCell ref="T222:U222"/>
    <mergeCell ref="E222:F222"/>
    <mergeCell ref="G222:H222"/>
    <mergeCell ref="I222:J222"/>
    <mergeCell ref="K222:L222"/>
    <mergeCell ref="N221:O221"/>
    <mergeCell ref="P221:Q221"/>
    <mergeCell ref="R221:S221"/>
    <mergeCell ref="T221:U221"/>
    <mergeCell ref="E221:F221"/>
    <mergeCell ref="G221:H221"/>
    <mergeCell ref="I221:J221"/>
    <mergeCell ref="K221:L221"/>
    <mergeCell ref="N220:O220"/>
    <mergeCell ref="P220:Q220"/>
    <mergeCell ref="R220:S220"/>
    <mergeCell ref="T220:U220"/>
    <mergeCell ref="E220:F220"/>
    <mergeCell ref="G220:H220"/>
    <mergeCell ref="I220:J220"/>
    <mergeCell ref="K220:L220"/>
    <mergeCell ref="N219:O219"/>
    <mergeCell ref="P219:Q219"/>
    <mergeCell ref="R219:S219"/>
    <mergeCell ref="T219:U219"/>
    <mergeCell ref="E219:F219"/>
    <mergeCell ref="G219:H219"/>
    <mergeCell ref="I219:J219"/>
    <mergeCell ref="K219:L219"/>
    <mergeCell ref="N218:O218"/>
    <mergeCell ref="P218:Q218"/>
    <mergeCell ref="R218:S218"/>
    <mergeCell ref="T218:U218"/>
    <mergeCell ref="E218:F218"/>
    <mergeCell ref="G218:H218"/>
    <mergeCell ref="I218:J218"/>
    <mergeCell ref="K218:L218"/>
    <mergeCell ref="N217:O217"/>
    <mergeCell ref="P217:Q217"/>
    <mergeCell ref="R217:S217"/>
    <mergeCell ref="T217:U217"/>
    <mergeCell ref="E217:F217"/>
    <mergeCell ref="G217:H217"/>
    <mergeCell ref="I217:J217"/>
    <mergeCell ref="K217:L217"/>
    <mergeCell ref="N216:O216"/>
    <mergeCell ref="P216:Q216"/>
    <mergeCell ref="R216:S216"/>
    <mergeCell ref="T216:U216"/>
    <mergeCell ref="E216:F216"/>
    <mergeCell ref="G216:H216"/>
    <mergeCell ref="I216:J216"/>
    <mergeCell ref="K216:L216"/>
    <mergeCell ref="N215:O215"/>
    <mergeCell ref="P215:Q215"/>
    <mergeCell ref="R215:S215"/>
    <mergeCell ref="T215:U215"/>
    <mergeCell ref="E215:F215"/>
    <mergeCell ref="G215:H215"/>
    <mergeCell ref="I215:J215"/>
    <mergeCell ref="K215:L215"/>
    <mergeCell ref="N214:O214"/>
    <mergeCell ref="P214:Q214"/>
    <mergeCell ref="R214:S214"/>
    <mergeCell ref="T214:U214"/>
    <mergeCell ref="E214:F214"/>
    <mergeCell ref="G214:H214"/>
    <mergeCell ref="I214:J214"/>
    <mergeCell ref="K214:L214"/>
    <mergeCell ref="N213:O213"/>
    <mergeCell ref="P213:Q213"/>
    <mergeCell ref="R213:S213"/>
    <mergeCell ref="T213:U213"/>
    <mergeCell ref="E213:F213"/>
    <mergeCell ref="G213:H213"/>
    <mergeCell ref="I213:J213"/>
    <mergeCell ref="K213:L213"/>
    <mergeCell ref="N212:O212"/>
    <mergeCell ref="P212:Q212"/>
    <mergeCell ref="R212:S212"/>
    <mergeCell ref="T212:U212"/>
    <mergeCell ref="E212:F212"/>
    <mergeCell ref="G212:H212"/>
    <mergeCell ref="I212:J212"/>
    <mergeCell ref="K212:L212"/>
    <mergeCell ref="N211:O211"/>
    <mergeCell ref="P211:Q211"/>
    <mergeCell ref="R211:S211"/>
    <mergeCell ref="T211:U211"/>
    <mergeCell ref="E211:F211"/>
    <mergeCell ref="G211:H211"/>
    <mergeCell ref="I211:J211"/>
    <mergeCell ref="K211:L211"/>
    <mergeCell ref="T209:U209"/>
    <mergeCell ref="E210:F210"/>
    <mergeCell ref="G210:H210"/>
    <mergeCell ref="I210:J210"/>
    <mergeCell ref="K210:L210"/>
    <mergeCell ref="N210:O210"/>
    <mergeCell ref="P210:Q210"/>
    <mergeCell ref="R210:S210"/>
    <mergeCell ref="T210:U210"/>
    <mergeCell ref="M208:M209"/>
    <mergeCell ref="T208:U208"/>
    <mergeCell ref="V208:V209"/>
    <mergeCell ref="W208:Y208"/>
    <mergeCell ref="G209:H209"/>
    <mergeCell ref="I209:J209"/>
    <mergeCell ref="K209:L209"/>
    <mergeCell ref="N209:O209"/>
    <mergeCell ref="P209:Q209"/>
    <mergeCell ref="R209:S209"/>
    <mergeCell ref="N208:O208"/>
    <mergeCell ref="P208:Q208"/>
    <mergeCell ref="R208:S208"/>
    <mergeCell ref="E208:F208"/>
    <mergeCell ref="G208:H208"/>
    <mergeCell ref="I208:J208"/>
    <mergeCell ref="K208:L208"/>
    <mergeCell ref="E202:F202"/>
    <mergeCell ref="J207:L207"/>
    <mergeCell ref="M207:O207"/>
    <mergeCell ref="P207:Q207"/>
    <mergeCell ref="R207:Y207"/>
    <mergeCell ref="T175:U175"/>
    <mergeCell ref="R175:S175"/>
    <mergeCell ref="G175:H175"/>
    <mergeCell ref="I175:J175"/>
    <mergeCell ref="K175:L175"/>
    <mergeCell ref="E163:F163"/>
    <mergeCell ref="I163:L163"/>
    <mergeCell ref="M163:P163"/>
    <mergeCell ref="A207:B207"/>
    <mergeCell ref="C207:D207"/>
    <mergeCell ref="E207:G207"/>
    <mergeCell ref="H207:I207"/>
    <mergeCell ref="A205:Y205"/>
    <mergeCell ref="A206:B206"/>
    <mergeCell ref="C206:D206"/>
    <mergeCell ref="E206:G206"/>
    <mergeCell ref="H206:L206"/>
    <mergeCell ref="M206:O206"/>
    <mergeCell ref="P206:Y206"/>
    <mergeCell ref="E168:F168"/>
    <mergeCell ref="I168:L168"/>
    <mergeCell ref="M168:P168"/>
    <mergeCell ref="Q168:R168"/>
    <mergeCell ref="A171:Y171"/>
    <mergeCell ref="A172:B172"/>
    <mergeCell ref="I202:L202"/>
    <mergeCell ref="M202:P202"/>
    <mergeCell ref="Q202:R202"/>
    <mergeCell ref="S166:Y166"/>
    <mergeCell ref="P172:Y172"/>
    <mergeCell ref="J173:L173"/>
    <mergeCell ref="E174:F174"/>
    <mergeCell ref="E160:F160"/>
    <mergeCell ref="I160:L160"/>
    <mergeCell ref="M160:P160"/>
    <mergeCell ref="Q160:R160"/>
    <mergeCell ref="A159:F159"/>
    <mergeCell ref="G159:R159"/>
    <mergeCell ref="V174:V175"/>
    <mergeCell ref="W174:Y174"/>
    <mergeCell ref="M173:O173"/>
    <mergeCell ref="P173:Q173"/>
    <mergeCell ref="E166:F166"/>
    <mergeCell ref="I166:L166"/>
    <mergeCell ref="M166:P166"/>
    <mergeCell ref="Q166:R166"/>
    <mergeCell ref="E167:F167"/>
    <mergeCell ref="I167:L167"/>
    <mergeCell ref="M167:P167"/>
    <mergeCell ref="Q167:R167"/>
    <mergeCell ref="M162:P162"/>
    <mergeCell ref="Q162:R162"/>
    <mergeCell ref="E165:F165"/>
    <mergeCell ref="I165:L165"/>
    <mergeCell ref="M165:P165"/>
    <mergeCell ref="Q165:R165"/>
    <mergeCell ref="E164:F164"/>
    <mergeCell ref="I164:L164"/>
    <mergeCell ref="M164:P164"/>
    <mergeCell ref="Q164:R164"/>
    <mergeCell ref="P175:Q175"/>
    <mergeCell ref="E161:F161"/>
    <mergeCell ref="I161:L161"/>
    <mergeCell ref="M161:P161"/>
    <mergeCell ref="Q161:R161"/>
    <mergeCell ref="I154:J154"/>
    <mergeCell ref="K154:L154"/>
    <mergeCell ref="P154:Q154"/>
    <mergeCell ref="R154:S154"/>
    <mergeCell ref="Q163:R163"/>
    <mergeCell ref="E162:F162"/>
    <mergeCell ref="I162:L162"/>
    <mergeCell ref="P157:Q157"/>
    <mergeCell ref="R157:S157"/>
    <mergeCell ref="T157:U157"/>
    <mergeCell ref="E157:F157"/>
    <mergeCell ref="G157:H157"/>
    <mergeCell ref="I157:J157"/>
    <mergeCell ref="K157:L157"/>
    <mergeCell ref="N157:O157"/>
    <mergeCell ref="P155:Q155"/>
    <mergeCell ref="R155:S155"/>
    <mergeCell ref="S159:Y159"/>
    <mergeCell ref="T156:U156"/>
    <mergeCell ref="E156:F156"/>
    <mergeCell ref="G156:H156"/>
    <mergeCell ref="I156:J156"/>
    <mergeCell ref="K156:L156"/>
    <mergeCell ref="P156:Q156"/>
    <mergeCell ref="R156:S156"/>
    <mergeCell ref="N156:O156"/>
    <mergeCell ref="I155:J155"/>
    <mergeCell ref="K155:L155"/>
    <mergeCell ref="N154:O154"/>
    <mergeCell ref="N155:O155"/>
    <mergeCell ref="T155:U155"/>
    <mergeCell ref="E155:F155"/>
    <mergeCell ref="G155:H155"/>
    <mergeCell ref="P153:Q153"/>
    <mergeCell ref="R153:S153"/>
    <mergeCell ref="T153:U153"/>
    <mergeCell ref="E153:F153"/>
    <mergeCell ref="G153:H153"/>
    <mergeCell ref="I153:J153"/>
    <mergeCell ref="K153:L153"/>
    <mergeCell ref="N153:O153"/>
    <mergeCell ref="T154:U154"/>
    <mergeCell ref="E154:F154"/>
    <mergeCell ref="G154:H154"/>
    <mergeCell ref="R140:S140"/>
    <mergeCell ref="N141:O141"/>
    <mergeCell ref="P141:Q141"/>
    <mergeCell ref="E140:F140"/>
    <mergeCell ref="G140:H140"/>
    <mergeCell ref="I140:J140"/>
    <mergeCell ref="K140:L140"/>
    <mergeCell ref="G141:H141"/>
    <mergeCell ref="I141:J141"/>
    <mergeCell ref="K141:L141"/>
    <mergeCell ref="P139:Q139"/>
    <mergeCell ref="R139:Y139"/>
    <mergeCell ref="A139:B139"/>
    <mergeCell ref="C139:D139"/>
    <mergeCell ref="E139:G139"/>
    <mergeCell ref="H139:I139"/>
    <mergeCell ref="J139:L139"/>
    <mergeCell ref="M139:O139"/>
    <mergeCell ref="A137:Y137"/>
    <mergeCell ref="A138:B138"/>
    <mergeCell ref="C138:D138"/>
    <mergeCell ref="E138:G138"/>
    <mergeCell ref="H138:L138"/>
    <mergeCell ref="M138:O138"/>
    <mergeCell ref="P138:Y138"/>
    <mergeCell ref="T141:U141"/>
    <mergeCell ref="S132:Y132"/>
    <mergeCell ref="E133:F133"/>
    <mergeCell ref="I133:L133"/>
    <mergeCell ref="M133:P133"/>
    <mergeCell ref="Q133:R133"/>
    <mergeCell ref="E132:F132"/>
    <mergeCell ref="I132:L132"/>
    <mergeCell ref="M132:P132"/>
    <mergeCell ref="Q132:R132"/>
    <mergeCell ref="M140:M141"/>
    <mergeCell ref="T140:U140"/>
    <mergeCell ref="V140:V141"/>
    <mergeCell ref="W140:Y140"/>
    <mergeCell ref="R141:S141"/>
    <mergeCell ref="N140:O140"/>
    <mergeCell ref="P140:Q140"/>
    <mergeCell ref="I131:L131"/>
    <mergeCell ref="M131:P131"/>
    <mergeCell ref="Q131:R131"/>
    <mergeCell ref="E134:F134"/>
    <mergeCell ref="I134:L134"/>
    <mergeCell ref="M134:P134"/>
    <mergeCell ref="Q134:R134"/>
    <mergeCell ref="E130:F130"/>
    <mergeCell ref="I130:L130"/>
    <mergeCell ref="M130:P130"/>
    <mergeCell ref="Q130:R130"/>
    <mergeCell ref="E129:F129"/>
    <mergeCell ref="I129:L129"/>
    <mergeCell ref="M129:P129"/>
    <mergeCell ref="Q129:R129"/>
    <mergeCell ref="E128:F128"/>
    <mergeCell ref="I128:L128"/>
    <mergeCell ref="M128:P128"/>
    <mergeCell ref="Q128:R128"/>
    <mergeCell ref="I127:L127"/>
    <mergeCell ref="M127:P127"/>
    <mergeCell ref="Q127:R127"/>
    <mergeCell ref="A125:F125"/>
    <mergeCell ref="G125:R125"/>
    <mergeCell ref="S125:Y125"/>
    <mergeCell ref="E126:F126"/>
    <mergeCell ref="I126:L126"/>
    <mergeCell ref="M126:P126"/>
    <mergeCell ref="Q126:R126"/>
    <mergeCell ref="N123:O123"/>
    <mergeCell ref="P123:Q123"/>
    <mergeCell ref="R123:S123"/>
    <mergeCell ref="T123:U123"/>
    <mergeCell ref="E123:F123"/>
    <mergeCell ref="G123:H123"/>
    <mergeCell ref="I123:J123"/>
    <mergeCell ref="K123:L123"/>
    <mergeCell ref="E127:F127"/>
    <mergeCell ref="N122:O122"/>
    <mergeCell ref="P122:Q122"/>
    <mergeCell ref="R122:S122"/>
    <mergeCell ref="T122:U122"/>
    <mergeCell ref="E122:F122"/>
    <mergeCell ref="G122:H122"/>
    <mergeCell ref="I122:J122"/>
    <mergeCell ref="K122:L122"/>
    <mergeCell ref="N121:O121"/>
    <mergeCell ref="P121:Q121"/>
    <mergeCell ref="R121:S121"/>
    <mergeCell ref="T121:U121"/>
    <mergeCell ref="E121:F121"/>
    <mergeCell ref="G121:H121"/>
    <mergeCell ref="I121:J121"/>
    <mergeCell ref="K121:L121"/>
    <mergeCell ref="N120:O120"/>
    <mergeCell ref="P120:Q120"/>
    <mergeCell ref="R120:S120"/>
    <mergeCell ref="T120:U120"/>
    <mergeCell ref="E120:F120"/>
    <mergeCell ref="G120:H120"/>
    <mergeCell ref="I120:J120"/>
    <mergeCell ref="K120:L120"/>
    <mergeCell ref="T107:U107"/>
    <mergeCell ref="M106:M107"/>
    <mergeCell ref="T106:U106"/>
    <mergeCell ref="V106:V107"/>
    <mergeCell ref="W106:Y106"/>
    <mergeCell ref="G107:H107"/>
    <mergeCell ref="I107:J107"/>
    <mergeCell ref="K107:L107"/>
    <mergeCell ref="N107:O107"/>
    <mergeCell ref="P107:Q107"/>
    <mergeCell ref="R107:S107"/>
    <mergeCell ref="N106:O106"/>
    <mergeCell ref="P106:Q106"/>
    <mergeCell ref="R106:S106"/>
    <mergeCell ref="E106:F106"/>
    <mergeCell ref="G106:H106"/>
    <mergeCell ref="I106:J106"/>
    <mergeCell ref="K106:L106"/>
    <mergeCell ref="J105:L105"/>
    <mergeCell ref="M105:O105"/>
    <mergeCell ref="P105:Q105"/>
    <mergeCell ref="R105:Y105"/>
    <mergeCell ref="A105:B105"/>
    <mergeCell ref="C105:D105"/>
    <mergeCell ref="E105:G105"/>
    <mergeCell ref="H105:I105"/>
    <mergeCell ref="A103:Y103"/>
    <mergeCell ref="A104:B104"/>
    <mergeCell ref="C104:D104"/>
    <mergeCell ref="E104:G104"/>
    <mergeCell ref="H104:L104"/>
    <mergeCell ref="M104:O104"/>
    <mergeCell ref="P104:Y104"/>
    <mergeCell ref="S98:Y98"/>
    <mergeCell ref="E99:F99"/>
    <mergeCell ref="I99:L99"/>
    <mergeCell ref="M99:P99"/>
    <mergeCell ref="Q99:R99"/>
    <mergeCell ref="E98:F98"/>
    <mergeCell ref="I98:L98"/>
    <mergeCell ref="M98:P98"/>
    <mergeCell ref="Q98:R98"/>
    <mergeCell ref="I97:L97"/>
    <mergeCell ref="M97:P97"/>
    <mergeCell ref="Q97:R97"/>
    <mergeCell ref="E100:F100"/>
    <mergeCell ref="I100:L100"/>
    <mergeCell ref="M100:P100"/>
    <mergeCell ref="Q100:R100"/>
    <mergeCell ref="E96:F96"/>
    <mergeCell ref="I96:L96"/>
    <mergeCell ref="M96:P96"/>
    <mergeCell ref="Q96:R96"/>
    <mergeCell ref="E95:F95"/>
    <mergeCell ref="I95:L95"/>
    <mergeCell ref="M95:P95"/>
    <mergeCell ref="Q95:R95"/>
    <mergeCell ref="E94:F94"/>
    <mergeCell ref="I94:L94"/>
    <mergeCell ref="M94:P94"/>
    <mergeCell ref="Q94:R94"/>
    <mergeCell ref="E97:F97"/>
    <mergeCell ref="I93:L93"/>
    <mergeCell ref="M93:P93"/>
    <mergeCell ref="Q93:R93"/>
    <mergeCell ref="A91:F91"/>
    <mergeCell ref="G91:R91"/>
    <mergeCell ref="S91:Y91"/>
    <mergeCell ref="E92:F92"/>
    <mergeCell ref="I92:L92"/>
    <mergeCell ref="M92:P92"/>
    <mergeCell ref="Q92:R92"/>
    <mergeCell ref="N89:O89"/>
    <mergeCell ref="P89:Q89"/>
    <mergeCell ref="R89:S89"/>
    <mergeCell ref="T89:U89"/>
    <mergeCell ref="E89:F89"/>
    <mergeCell ref="G89:H89"/>
    <mergeCell ref="I89:J89"/>
    <mergeCell ref="K89:L89"/>
    <mergeCell ref="E93:F93"/>
    <mergeCell ref="N88:O88"/>
    <mergeCell ref="P88:Q88"/>
    <mergeCell ref="R88:S88"/>
    <mergeCell ref="T88:U88"/>
    <mergeCell ref="E88:F88"/>
    <mergeCell ref="G88:H88"/>
    <mergeCell ref="I88:J88"/>
    <mergeCell ref="K88:L88"/>
    <mergeCell ref="N85:O85"/>
    <mergeCell ref="P85:Q85"/>
    <mergeCell ref="R85:S85"/>
    <mergeCell ref="T85:U85"/>
    <mergeCell ref="G85:H85"/>
    <mergeCell ref="I85:J85"/>
    <mergeCell ref="K85:L85"/>
    <mergeCell ref="N83:O83"/>
    <mergeCell ref="P83:Q83"/>
    <mergeCell ref="R83:S83"/>
    <mergeCell ref="T83:U83"/>
    <mergeCell ref="E83:F83"/>
    <mergeCell ref="G83:H83"/>
    <mergeCell ref="I83:J83"/>
    <mergeCell ref="K83:L83"/>
    <mergeCell ref="N82:O82"/>
    <mergeCell ref="P82:Q82"/>
    <mergeCell ref="R82:S82"/>
    <mergeCell ref="T82:U82"/>
    <mergeCell ref="G82:H82"/>
    <mergeCell ref="I82:J82"/>
    <mergeCell ref="K82:L82"/>
    <mergeCell ref="N81:O81"/>
    <mergeCell ref="P81:Q81"/>
    <mergeCell ref="R81:S81"/>
    <mergeCell ref="T81:U81"/>
    <mergeCell ref="E81:F81"/>
    <mergeCell ref="G81:H81"/>
    <mergeCell ref="I81:J81"/>
    <mergeCell ref="K81:L81"/>
    <mergeCell ref="N80:O80"/>
    <mergeCell ref="P80:Q80"/>
    <mergeCell ref="R80:S80"/>
    <mergeCell ref="T80:U80"/>
    <mergeCell ref="E80:F80"/>
    <mergeCell ref="G80:H80"/>
    <mergeCell ref="I80:J80"/>
    <mergeCell ref="K80:L80"/>
    <mergeCell ref="T73:U73"/>
    <mergeCell ref="M72:M73"/>
    <mergeCell ref="T72:U72"/>
    <mergeCell ref="V72:V73"/>
    <mergeCell ref="W72:Y72"/>
    <mergeCell ref="G73:H73"/>
    <mergeCell ref="I73:J73"/>
    <mergeCell ref="K73:L73"/>
    <mergeCell ref="N73:O73"/>
    <mergeCell ref="P73:Q73"/>
    <mergeCell ref="R73:S73"/>
    <mergeCell ref="N72:O72"/>
    <mergeCell ref="P72:Q72"/>
    <mergeCell ref="R72:S72"/>
    <mergeCell ref="E72:F72"/>
    <mergeCell ref="G72:H72"/>
    <mergeCell ref="I72:J72"/>
    <mergeCell ref="K72:L72"/>
    <mergeCell ref="J71:L71"/>
    <mergeCell ref="M71:O71"/>
    <mergeCell ref="P71:Q71"/>
    <mergeCell ref="R71:Y71"/>
    <mergeCell ref="A71:B71"/>
    <mergeCell ref="C71:D71"/>
    <mergeCell ref="E71:G71"/>
    <mergeCell ref="H71:I71"/>
    <mergeCell ref="A69:Y69"/>
    <mergeCell ref="A70:B70"/>
    <mergeCell ref="C70:D70"/>
    <mergeCell ref="E70:G70"/>
    <mergeCell ref="H70:L70"/>
    <mergeCell ref="M70:O70"/>
    <mergeCell ref="P70:Y70"/>
    <mergeCell ref="S64:Y64"/>
    <mergeCell ref="E65:F65"/>
    <mergeCell ref="I65:L65"/>
    <mergeCell ref="M65:P65"/>
    <mergeCell ref="Q65:R65"/>
    <mergeCell ref="E64:F64"/>
    <mergeCell ref="I64:L64"/>
    <mergeCell ref="M64:P64"/>
    <mergeCell ref="Q64:R64"/>
    <mergeCell ref="E63:F63"/>
    <mergeCell ref="I63:L63"/>
    <mergeCell ref="M63:P63"/>
    <mergeCell ref="Q63:R63"/>
    <mergeCell ref="E66:F66"/>
    <mergeCell ref="I66:L66"/>
    <mergeCell ref="M66:P66"/>
    <mergeCell ref="Q66:R66"/>
    <mergeCell ref="E62:F62"/>
    <mergeCell ref="I62:L62"/>
    <mergeCell ref="M62:P62"/>
    <mergeCell ref="Q62:R62"/>
    <mergeCell ref="E61:F61"/>
    <mergeCell ref="I61:L61"/>
    <mergeCell ref="M61:P61"/>
    <mergeCell ref="Q61:R61"/>
    <mergeCell ref="E60:F60"/>
    <mergeCell ref="I60:L60"/>
    <mergeCell ref="M60:P60"/>
    <mergeCell ref="Q60:R60"/>
    <mergeCell ref="E59:F59"/>
    <mergeCell ref="I59:L59"/>
    <mergeCell ref="M59:P59"/>
    <mergeCell ref="Q59:R59"/>
    <mergeCell ref="A57:F57"/>
    <mergeCell ref="G57:R57"/>
    <mergeCell ref="S57:Y57"/>
    <mergeCell ref="E58:F58"/>
    <mergeCell ref="I58:L58"/>
    <mergeCell ref="M58:P58"/>
    <mergeCell ref="Q58:R58"/>
    <mergeCell ref="N55:O55"/>
    <mergeCell ref="P55:Q55"/>
    <mergeCell ref="R55:S55"/>
    <mergeCell ref="T55:U55"/>
    <mergeCell ref="E55:F55"/>
    <mergeCell ref="G55:H55"/>
    <mergeCell ref="I55:J55"/>
    <mergeCell ref="K55:L55"/>
    <mergeCell ref="N52:O52"/>
    <mergeCell ref="P52:Q52"/>
    <mergeCell ref="R52:S52"/>
    <mergeCell ref="T52:U52"/>
    <mergeCell ref="G52:H52"/>
    <mergeCell ref="I52:J52"/>
    <mergeCell ref="K52:L52"/>
    <mergeCell ref="N51:O51"/>
    <mergeCell ref="P51:Q51"/>
    <mergeCell ref="R51:S51"/>
    <mergeCell ref="T51:U51"/>
    <mergeCell ref="E51:F51"/>
    <mergeCell ref="G51:H51"/>
    <mergeCell ref="I51:J51"/>
    <mergeCell ref="K51:L51"/>
    <mergeCell ref="M37:M38"/>
    <mergeCell ref="T37:U37"/>
    <mergeCell ref="G38:H38"/>
    <mergeCell ref="I38:J38"/>
    <mergeCell ref="K38:L38"/>
    <mergeCell ref="N38:O38"/>
    <mergeCell ref="R37:S37"/>
    <mergeCell ref="E37:F37"/>
    <mergeCell ref="G37:H37"/>
    <mergeCell ref="I37:J37"/>
    <mergeCell ref="K37:L37"/>
    <mergeCell ref="J36:L36"/>
    <mergeCell ref="M36:O36"/>
    <mergeCell ref="P36:Q36"/>
    <mergeCell ref="R36:Y36"/>
    <mergeCell ref="A36:B36"/>
    <mergeCell ref="C36:D36"/>
    <mergeCell ref="E36:G36"/>
    <mergeCell ref="H36:I36"/>
    <mergeCell ref="T38:U38"/>
    <mergeCell ref="A34:Y34"/>
    <mergeCell ref="A35:B35"/>
    <mergeCell ref="C35:D35"/>
    <mergeCell ref="E35:G35"/>
    <mergeCell ref="H35:L35"/>
    <mergeCell ref="M35:O35"/>
    <mergeCell ref="P35:Y35"/>
    <mergeCell ref="K174:L174"/>
    <mergeCell ref="C172:D172"/>
    <mergeCell ref="E172:G172"/>
    <mergeCell ref="H172:L172"/>
    <mergeCell ref="M172:O172"/>
    <mergeCell ref="A173:B173"/>
    <mergeCell ref="C173:D173"/>
    <mergeCell ref="E173:G173"/>
    <mergeCell ref="H173:I173"/>
    <mergeCell ref="R173:Y173"/>
    <mergeCell ref="P174:Q174"/>
    <mergeCell ref="R174:S174"/>
    <mergeCell ref="T174:U174"/>
    <mergeCell ref="M174:M175"/>
    <mergeCell ref="N174:O174"/>
    <mergeCell ref="N175:O175"/>
    <mergeCell ref="G174:H174"/>
    <mergeCell ref="I174:J174"/>
    <mergeCell ref="V37:V38"/>
    <mergeCell ref="W37:Y37"/>
    <mergeCell ref="P38:Q38"/>
    <mergeCell ref="R38:S38"/>
    <mergeCell ref="N37:O37"/>
    <mergeCell ref="P37:Q37"/>
    <mergeCell ref="E187:F187"/>
    <mergeCell ref="G187:H187"/>
    <mergeCell ref="I187:J187"/>
    <mergeCell ref="K187:L187"/>
    <mergeCell ref="N187:O187"/>
    <mergeCell ref="P187:Q187"/>
    <mergeCell ref="R187:S187"/>
    <mergeCell ref="T187:U187"/>
    <mergeCell ref="E189:F189"/>
    <mergeCell ref="G189:H189"/>
    <mergeCell ref="I189:J189"/>
    <mergeCell ref="K189:L189"/>
    <mergeCell ref="E188:F188"/>
    <mergeCell ref="G188:H188"/>
    <mergeCell ref="I188:J188"/>
    <mergeCell ref="K188:L188"/>
    <mergeCell ref="R188:S188"/>
    <mergeCell ref="T188:U188"/>
    <mergeCell ref="N189:O189"/>
    <mergeCell ref="P189:Q189"/>
    <mergeCell ref="R189:S189"/>
    <mergeCell ref="T189:U189"/>
    <mergeCell ref="N188:O188"/>
    <mergeCell ref="P188:Q188"/>
    <mergeCell ref="Q198:R198"/>
    <mergeCell ref="E190:F190"/>
    <mergeCell ref="G190:H190"/>
    <mergeCell ref="I190:J190"/>
    <mergeCell ref="K190:L190"/>
    <mergeCell ref="N190:O190"/>
    <mergeCell ref="P190:Q190"/>
    <mergeCell ref="R190:S190"/>
    <mergeCell ref="T190:U190"/>
    <mergeCell ref="E191:F191"/>
    <mergeCell ref="G191:H191"/>
    <mergeCell ref="I191:J191"/>
    <mergeCell ref="K191:L191"/>
    <mergeCell ref="N191:O191"/>
    <mergeCell ref="P191:Q191"/>
    <mergeCell ref="R191:S191"/>
    <mergeCell ref="T191:U191"/>
    <mergeCell ref="A193:F193"/>
    <mergeCell ref="G193:R193"/>
    <mergeCell ref="S193:Y193"/>
    <mergeCell ref="S200:Y200"/>
    <mergeCell ref="E201:F201"/>
    <mergeCell ref="I201:L201"/>
    <mergeCell ref="M201:P201"/>
    <mergeCell ref="Q201:R201"/>
    <mergeCell ref="E200:F200"/>
    <mergeCell ref="I200:L200"/>
    <mergeCell ref="M200:P200"/>
    <mergeCell ref="Q200:R200"/>
    <mergeCell ref="E199:F199"/>
    <mergeCell ref="I199:L199"/>
    <mergeCell ref="M199:P199"/>
    <mergeCell ref="Q199:R199"/>
    <mergeCell ref="E197:F197"/>
    <mergeCell ref="I197:L197"/>
    <mergeCell ref="E194:F194"/>
    <mergeCell ref="I194:L194"/>
    <mergeCell ref="M194:P194"/>
    <mergeCell ref="Q194:R194"/>
    <mergeCell ref="E195:F195"/>
    <mergeCell ref="I195:L195"/>
    <mergeCell ref="M195:P195"/>
    <mergeCell ref="Q195:R195"/>
    <mergeCell ref="E196:F196"/>
    <mergeCell ref="I196:L196"/>
    <mergeCell ref="M196:P196"/>
    <mergeCell ref="Q196:R196"/>
    <mergeCell ref="M197:P197"/>
    <mergeCell ref="Q197:R197"/>
    <mergeCell ref="E198:F198"/>
    <mergeCell ref="I198:L198"/>
    <mergeCell ref="M198:P198"/>
    <mergeCell ref="T20:U20"/>
    <mergeCell ref="E20:F20"/>
    <mergeCell ref="G20:H20"/>
    <mergeCell ref="I20:J20"/>
    <mergeCell ref="K20:L20"/>
    <mergeCell ref="N20:O20"/>
    <mergeCell ref="S30:Y30"/>
    <mergeCell ref="E30:F30"/>
    <mergeCell ref="I30:L30"/>
    <mergeCell ref="M30:P30"/>
    <mergeCell ref="Q30:R30"/>
    <mergeCell ref="M26:P26"/>
    <mergeCell ref="Q26:R26"/>
    <mergeCell ref="E29:F29"/>
    <mergeCell ref="I29:L29"/>
    <mergeCell ref="M29:P29"/>
    <mergeCell ref="Q29:R29"/>
    <mergeCell ref="E28:F28"/>
    <mergeCell ref="I28:L28"/>
    <mergeCell ref="M28:P28"/>
    <mergeCell ref="Q28:R28"/>
    <mergeCell ref="S23:Y23"/>
    <mergeCell ref="E24:F24"/>
    <mergeCell ref="I24:L24"/>
    <mergeCell ref="M24:P24"/>
    <mergeCell ref="Q24:R24"/>
    <mergeCell ref="A23:F23"/>
    <mergeCell ref="G23:R23"/>
    <mergeCell ref="E25:F25"/>
    <mergeCell ref="I25:L25"/>
    <mergeCell ref="M25:P25"/>
    <mergeCell ref="Q25:R25"/>
    <mergeCell ref="E27:F27"/>
    <mergeCell ref="I27:L27"/>
    <mergeCell ref="M27:P27"/>
    <mergeCell ref="Q27:R27"/>
    <mergeCell ref="E26:F26"/>
    <mergeCell ref="I26:L26"/>
    <mergeCell ref="G19:H19"/>
    <mergeCell ref="I10:J10"/>
    <mergeCell ref="I19:J19"/>
    <mergeCell ref="K19:L19"/>
    <mergeCell ref="P19:Q19"/>
    <mergeCell ref="K10:L10"/>
    <mergeCell ref="R19:S19"/>
    <mergeCell ref="N19:O19"/>
    <mergeCell ref="P18:Q18"/>
    <mergeCell ref="R18:S18"/>
    <mergeCell ref="P20:Q20"/>
    <mergeCell ref="R20:S20"/>
    <mergeCell ref="N14:O14"/>
    <mergeCell ref="P10:Q10"/>
    <mergeCell ref="R10:S10"/>
    <mergeCell ref="K13:L13"/>
    <mergeCell ref="P13:Q13"/>
    <mergeCell ref="R13:S13"/>
    <mergeCell ref="G10:H10"/>
    <mergeCell ref="N13:O13"/>
    <mergeCell ref="T18:U18"/>
    <mergeCell ref="G18:H18"/>
    <mergeCell ref="I18:J18"/>
    <mergeCell ref="K18:L18"/>
    <mergeCell ref="N18:O18"/>
    <mergeCell ref="P16:Q16"/>
    <mergeCell ref="R16:S16"/>
    <mergeCell ref="T19:U19"/>
    <mergeCell ref="D10:F10"/>
    <mergeCell ref="N10:O10"/>
    <mergeCell ref="T10:U10"/>
    <mergeCell ref="T17:U17"/>
    <mergeCell ref="G17:H17"/>
    <mergeCell ref="I17:J17"/>
    <mergeCell ref="K17:L17"/>
    <mergeCell ref="P17:Q17"/>
    <mergeCell ref="R17:S17"/>
    <mergeCell ref="N17:O17"/>
    <mergeCell ref="I16:J16"/>
    <mergeCell ref="K16:L16"/>
    <mergeCell ref="T13:U13"/>
    <mergeCell ref="G13:H13"/>
    <mergeCell ref="I13:J13"/>
    <mergeCell ref="N16:O16"/>
    <mergeCell ref="T16:U16"/>
    <mergeCell ref="G16:H16"/>
    <mergeCell ref="P14:Q14"/>
    <mergeCell ref="R14:S14"/>
    <mergeCell ref="T14:U14"/>
    <mergeCell ref="G14:H14"/>
    <mergeCell ref="I14:J14"/>
    <mergeCell ref="K14:L14"/>
    <mergeCell ref="D8:F8"/>
    <mergeCell ref="K5:L5"/>
    <mergeCell ref="G8:H8"/>
    <mergeCell ref="I8:J8"/>
    <mergeCell ref="K8:L8"/>
    <mergeCell ref="N8:O8"/>
    <mergeCell ref="P8:Q8"/>
    <mergeCell ref="R8:S8"/>
    <mergeCell ref="T8:U8"/>
    <mergeCell ref="D5:F5"/>
    <mergeCell ref="P3:Q3"/>
    <mergeCell ref="R3:Y3"/>
    <mergeCell ref="A3:B3"/>
    <mergeCell ref="C3:D3"/>
    <mergeCell ref="E3:G3"/>
    <mergeCell ref="H3:I3"/>
    <mergeCell ref="J3:L3"/>
    <mergeCell ref="M3:O3"/>
    <mergeCell ref="A1:Y1"/>
    <mergeCell ref="A2:B2"/>
    <mergeCell ref="C2:D2"/>
    <mergeCell ref="E2:G2"/>
    <mergeCell ref="H2:L2"/>
    <mergeCell ref="M2:O2"/>
    <mergeCell ref="P2:Y2"/>
    <mergeCell ref="T5:U5"/>
    <mergeCell ref="M4:M5"/>
    <mergeCell ref="T4:U4"/>
    <mergeCell ref="V4:V5"/>
    <mergeCell ref="W4:Y4"/>
    <mergeCell ref="R5:S5"/>
    <mergeCell ref="N4:O4"/>
    <mergeCell ref="P4:Q4"/>
    <mergeCell ref="R4:S4"/>
    <mergeCell ref="N5:O5"/>
    <mergeCell ref="P5:Q5"/>
    <mergeCell ref="E4:F4"/>
    <mergeCell ref="G4:H4"/>
    <mergeCell ref="I4:J4"/>
    <mergeCell ref="K4:L4"/>
    <mergeCell ref="G5:H5"/>
    <mergeCell ref="I5:J5"/>
  </mergeCells>
  <printOptions/>
  <pageMargins left="0.15748031496062992" right="0.15748031496062992" top="0.5511811023622047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68"/>
  <sheetViews>
    <sheetView zoomScalePageLayoutView="0" workbookViewId="0" topLeftCell="A237">
      <selection activeCell="AN250" sqref="AN250"/>
    </sheetView>
  </sheetViews>
  <sheetFormatPr defaultColWidth="9.140625" defaultRowHeight="12.75"/>
  <cols>
    <col min="1" max="2" width="5.00390625" style="0" customWidth="1"/>
    <col min="3" max="3" width="15.421875" style="0" customWidth="1"/>
    <col min="4" max="4" width="13.28125" style="0" customWidth="1"/>
    <col min="5" max="30" width="3.140625" style="0" customWidth="1"/>
    <col min="31" max="33" width="3.28125" style="0" customWidth="1"/>
    <col min="34" max="37" width="3.7109375" style="0" customWidth="1"/>
  </cols>
  <sheetData>
    <row r="1" spans="1:38" ht="20.25">
      <c r="A1" s="80" t="s">
        <v>178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91"/>
      <c r="AD1" s="291"/>
      <c r="AE1" s="252"/>
      <c r="AF1" s="252"/>
      <c r="AG1" s="252"/>
      <c r="AH1" s="252"/>
      <c r="AI1" s="252"/>
      <c r="AJ1" s="252"/>
      <c r="AK1" s="251"/>
      <c r="AL1" s="84"/>
    </row>
    <row r="2" spans="1:38" ht="12.75">
      <c r="A2" s="428" t="s">
        <v>148</v>
      </c>
      <c r="B2" s="429"/>
      <c r="C2" s="464" t="s">
        <v>319</v>
      </c>
      <c r="D2" s="465"/>
      <c r="E2" s="428" t="s">
        <v>149</v>
      </c>
      <c r="F2" s="430"/>
      <c r="G2" s="429"/>
      <c r="H2" s="411" t="s">
        <v>360</v>
      </c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12"/>
      <c r="W2" s="428" t="s">
        <v>150</v>
      </c>
      <c r="X2" s="430"/>
      <c r="Y2" s="429"/>
      <c r="Z2" s="432" t="s">
        <v>368</v>
      </c>
      <c r="AA2" s="433"/>
      <c r="AB2" s="433"/>
      <c r="AC2" s="434"/>
      <c r="AD2" s="434"/>
      <c r="AE2" s="434"/>
      <c r="AF2" s="434"/>
      <c r="AG2" s="434"/>
      <c r="AH2" s="434"/>
      <c r="AI2" s="434"/>
      <c r="AJ2" s="434"/>
      <c r="AK2" s="435"/>
      <c r="AL2" s="84"/>
    </row>
    <row r="3" spans="1:38" ht="12.75">
      <c r="A3" s="428" t="s">
        <v>179</v>
      </c>
      <c r="B3" s="429"/>
      <c r="C3" s="377" t="s">
        <v>193</v>
      </c>
      <c r="D3" s="378"/>
      <c r="E3" s="428" t="s">
        <v>151</v>
      </c>
      <c r="F3" s="430"/>
      <c r="G3" s="429"/>
      <c r="H3" s="436" t="s">
        <v>187</v>
      </c>
      <c r="I3" s="437"/>
      <c r="J3" s="438"/>
      <c r="K3" s="428" t="s">
        <v>152</v>
      </c>
      <c r="L3" s="430"/>
      <c r="M3" s="430"/>
      <c r="N3" s="430"/>
      <c r="O3" s="430"/>
      <c r="P3" s="429"/>
      <c r="Q3" s="439"/>
      <c r="R3" s="440"/>
      <c r="S3" s="441"/>
      <c r="T3" s="442" t="s">
        <v>153</v>
      </c>
      <c r="U3" s="443"/>
      <c r="V3" s="444"/>
      <c r="W3" s="445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7"/>
      <c r="AL3" s="84"/>
    </row>
    <row r="4" spans="1:38" ht="12.75">
      <c r="A4" s="85" t="s">
        <v>154</v>
      </c>
      <c r="B4" s="85" t="s">
        <v>155</v>
      </c>
      <c r="C4" s="85" t="s">
        <v>156</v>
      </c>
      <c r="D4" s="86" t="s">
        <v>157</v>
      </c>
      <c r="E4" s="448"/>
      <c r="F4" s="449"/>
      <c r="G4" s="448"/>
      <c r="H4" s="449"/>
      <c r="I4" s="448"/>
      <c r="J4" s="449"/>
      <c r="K4" s="448"/>
      <c r="L4" s="449"/>
      <c r="M4" s="448"/>
      <c r="N4" s="449"/>
      <c r="O4" s="448"/>
      <c r="P4" s="449"/>
      <c r="Q4" s="448"/>
      <c r="R4" s="449"/>
      <c r="S4" s="448"/>
      <c r="T4" s="449"/>
      <c r="U4" s="448"/>
      <c r="V4" s="449"/>
      <c r="W4" s="448"/>
      <c r="X4" s="449"/>
      <c r="Y4" s="448"/>
      <c r="Z4" s="449"/>
      <c r="AA4" s="448"/>
      <c r="AB4" s="449"/>
      <c r="AC4" s="450" t="s">
        <v>166</v>
      </c>
      <c r="AD4" s="451"/>
      <c r="AE4" s="452" t="s">
        <v>180</v>
      </c>
      <c r="AF4" s="452" t="s">
        <v>181</v>
      </c>
      <c r="AG4" s="452" t="s">
        <v>182</v>
      </c>
      <c r="AH4" s="454" t="s">
        <v>167</v>
      </c>
      <c r="AI4" s="87"/>
      <c r="AJ4" s="456" t="s">
        <v>168</v>
      </c>
      <c r="AK4" s="457"/>
      <c r="AL4" s="84"/>
    </row>
    <row r="5" spans="1:38" ht="12.75">
      <c r="A5" s="88"/>
      <c r="B5" s="88"/>
      <c r="C5" s="89"/>
      <c r="D5" s="90"/>
      <c r="E5" s="425" t="s">
        <v>169</v>
      </c>
      <c r="F5" s="420"/>
      <c r="G5" s="425" t="s">
        <v>169</v>
      </c>
      <c r="H5" s="420"/>
      <c r="I5" s="425" t="s">
        <v>169</v>
      </c>
      <c r="J5" s="420"/>
      <c r="K5" s="425" t="s">
        <v>169</v>
      </c>
      <c r="L5" s="420"/>
      <c r="M5" s="425" t="s">
        <v>169</v>
      </c>
      <c r="N5" s="420"/>
      <c r="O5" s="425" t="s">
        <v>169</v>
      </c>
      <c r="P5" s="420"/>
      <c r="Q5" s="425" t="s">
        <v>169</v>
      </c>
      <c r="R5" s="420"/>
      <c r="S5" s="425" t="s">
        <v>169</v>
      </c>
      <c r="T5" s="420"/>
      <c r="U5" s="425" t="s">
        <v>169</v>
      </c>
      <c r="V5" s="420"/>
      <c r="W5" s="425" t="s">
        <v>169</v>
      </c>
      <c r="X5" s="420"/>
      <c r="Y5" s="425" t="s">
        <v>169</v>
      </c>
      <c r="Z5" s="420"/>
      <c r="AA5" s="425" t="s">
        <v>169</v>
      </c>
      <c r="AB5" s="420"/>
      <c r="AC5" s="426" t="s">
        <v>169</v>
      </c>
      <c r="AD5" s="427"/>
      <c r="AE5" s="453"/>
      <c r="AF5" s="453"/>
      <c r="AG5" s="453"/>
      <c r="AH5" s="455"/>
      <c r="AI5" s="91"/>
      <c r="AJ5" s="458"/>
      <c r="AK5" s="459"/>
      <c r="AL5" s="84"/>
    </row>
    <row r="6" spans="1:38" ht="17.25" customHeight="1">
      <c r="A6" s="88"/>
      <c r="B6" s="63"/>
      <c r="C6" s="120" t="s">
        <v>405</v>
      </c>
      <c r="D6" s="370" t="s">
        <v>427</v>
      </c>
      <c r="E6" s="371"/>
      <c r="F6" s="371"/>
      <c r="G6" s="371"/>
      <c r="H6" s="372"/>
      <c r="I6" s="421"/>
      <c r="J6" s="422"/>
      <c r="K6" s="421"/>
      <c r="L6" s="422"/>
      <c r="M6" s="421"/>
      <c r="N6" s="422"/>
      <c r="O6" s="421"/>
      <c r="P6" s="422"/>
      <c r="Q6" s="421"/>
      <c r="R6" s="422"/>
      <c r="S6" s="421"/>
      <c r="T6" s="422"/>
      <c r="U6" s="421"/>
      <c r="V6" s="422"/>
      <c r="W6" s="421"/>
      <c r="X6" s="422"/>
      <c r="Y6" s="421"/>
      <c r="Z6" s="422"/>
      <c r="AA6" s="421"/>
      <c r="AB6" s="422"/>
      <c r="AC6" s="423"/>
      <c r="AD6" s="424"/>
      <c r="AE6" s="92"/>
      <c r="AF6" s="92"/>
      <c r="AG6" s="92"/>
      <c r="AH6" s="93"/>
      <c r="AI6" s="94"/>
      <c r="AJ6" s="94"/>
      <c r="AK6" s="94"/>
      <c r="AL6" s="84"/>
    </row>
    <row r="7" spans="1:38" ht="15.75">
      <c r="A7" s="95">
        <v>1</v>
      </c>
      <c r="B7" s="119">
        <v>1</v>
      </c>
      <c r="C7" s="122" t="s">
        <v>442</v>
      </c>
      <c r="D7" s="122" t="s">
        <v>20</v>
      </c>
      <c r="E7" s="421"/>
      <c r="F7" s="422"/>
      <c r="G7" s="421"/>
      <c r="H7" s="422"/>
      <c r="I7" s="421"/>
      <c r="J7" s="422"/>
      <c r="K7" s="421"/>
      <c r="L7" s="422"/>
      <c r="M7" s="421"/>
      <c r="N7" s="422"/>
      <c r="O7" s="421"/>
      <c r="P7" s="422"/>
      <c r="Q7" s="421"/>
      <c r="R7" s="422"/>
      <c r="S7" s="421"/>
      <c r="T7" s="422"/>
      <c r="U7" s="421"/>
      <c r="V7" s="422"/>
      <c r="W7" s="421"/>
      <c r="X7" s="422"/>
      <c r="Y7" s="421"/>
      <c r="Z7" s="422"/>
      <c r="AA7" s="421"/>
      <c r="AB7" s="422"/>
      <c r="AC7" s="423"/>
      <c r="AD7" s="424"/>
      <c r="AE7" s="92"/>
      <c r="AF7" s="92"/>
      <c r="AG7" s="92"/>
      <c r="AH7" s="292"/>
      <c r="AI7" s="94"/>
      <c r="AJ7" s="94"/>
      <c r="AK7" s="94"/>
      <c r="AL7" s="84"/>
    </row>
    <row r="8" spans="1:38" ht="15.75">
      <c r="A8" s="95">
        <v>2</v>
      </c>
      <c r="B8" s="119">
        <v>2</v>
      </c>
      <c r="C8" s="122" t="s">
        <v>443</v>
      </c>
      <c r="D8" s="122" t="s">
        <v>20</v>
      </c>
      <c r="E8" s="421"/>
      <c r="F8" s="422"/>
      <c r="G8" s="421"/>
      <c r="H8" s="422"/>
      <c r="I8" s="421"/>
      <c r="J8" s="422"/>
      <c r="K8" s="421"/>
      <c r="L8" s="422"/>
      <c r="M8" s="421"/>
      <c r="N8" s="422"/>
      <c r="O8" s="421"/>
      <c r="P8" s="422"/>
      <c r="Q8" s="421"/>
      <c r="R8" s="422"/>
      <c r="S8" s="421"/>
      <c r="T8" s="422"/>
      <c r="U8" s="421"/>
      <c r="V8" s="422"/>
      <c r="W8" s="421"/>
      <c r="X8" s="422"/>
      <c r="Y8" s="421"/>
      <c r="Z8" s="422"/>
      <c r="AA8" s="421"/>
      <c r="AB8" s="422"/>
      <c r="AC8" s="423"/>
      <c r="AD8" s="424"/>
      <c r="AE8" s="92"/>
      <c r="AF8" s="92"/>
      <c r="AG8" s="92"/>
      <c r="AH8" s="292"/>
      <c r="AI8" s="94"/>
      <c r="AJ8" s="94"/>
      <c r="AK8" s="94"/>
      <c r="AL8" s="84"/>
    </row>
    <row r="9" spans="1:38" ht="15.75">
      <c r="A9" s="95">
        <v>3</v>
      </c>
      <c r="B9" s="119">
        <v>3</v>
      </c>
      <c r="C9" s="122" t="s">
        <v>444</v>
      </c>
      <c r="D9" s="122" t="s">
        <v>16</v>
      </c>
      <c r="E9" s="421"/>
      <c r="F9" s="422"/>
      <c r="G9" s="421"/>
      <c r="H9" s="422"/>
      <c r="I9" s="421"/>
      <c r="J9" s="422"/>
      <c r="K9" s="421"/>
      <c r="L9" s="422"/>
      <c r="M9" s="421"/>
      <c r="N9" s="422"/>
      <c r="O9" s="421"/>
      <c r="P9" s="422"/>
      <c r="Q9" s="421"/>
      <c r="R9" s="422"/>
      <c r="S9" s="421"/>
      <c r="T9" s="422"/>
      <c r="U9" s="421"/>
      <c r="V9" s="422"/>
      <c r="W9" s="421"/>
      <c r="X9" s="422"/>
      <c r="Y9" s="421"/>
      <c r="Z9" s="422"/>
      <c r="AA9" s="421"/>
      <c r="AB9" s="422"/>
      <c r="AC9" s="423"/>
      <c r="AD9" s="424"/>
      <c r="AE9" s="92"/>
      <c r="AF9" s="92"/>
      <c r="AG9" s="92"/>
      <c r="AH9" s="292"/>
      <c r="AI9" s="94"/>
      <c r="AJ9" s="94"/>
      <c r="AK9" s="94"/>
      <c r="AL9" s="84"/>
    </row>
    <row r="10" spans="1:38" ht="15.75">
      <c r="A10" s="95">
        <v>4</v>
      </c>
      <c r="B10" s="122">
        <v>4</v>
      </c>
      <c r="C10" s="122" t="s">
        <v>445</v>
      </c>
      <c r="D10" s="122" t="s">
        <v>16</v>
      </c>
      <c r="E10" s="421"/>
      <c r="F10" s="422"/>
      <c r="G10" s="421"/>
      <c r="H10" s="422"/>
      <c r="I10" s="421"/>
      <c r="J10" s="422"/>
      <c r="K10" s="421"/>
      <c r="L10" s="422"/>
      <c r="M10" s="421"/>
      <c r="N10" s="422"/>
      <c r="O10" s="421"/>
      <c r="P10" s="422"/>
      <c r="Q10" s="421"/>
      <c r="R10" s="422"/>
      <c r="S10" s="421"/>
      <c r="T10" s="422"/>
      <c r="U10" s="421"/>
      <c r="V10" s="422"/>
      <c r="W10" s="421"/>
      <c r="X10" s="422"/>
      <c r="Y10" s="421"/>
      <c r="Z10" s="422"/>
      <c r="AA10" s="421"/>
      <c r="AB10" s="422"/>
      <c r="AC10" s="423"/>
      <c r="AD10" s="424"/>
      <c r="AE10" s="92"/>
      <c r="AF10" s="92"/>
      <c r="AG10" s="92"/>
      <c r="AH10" s="292"/>
      <c r="AI10" s="94"/>
      <c r="AJ10" s="94"/>
      <c r="AK10" s="94"/>
      <c r="AL10" s="84"/>
    </row>
    <row r="11" spans="1:38" ht="15.75">
      <c r="A11" s="95">
        <v>5</v>
      </c>
      <c r="B11" s="119">
        <v>5</v>
      </c>
      <c r="C11" s="122" t="s">
        <v>446</v>
      </c>
      <c r="D11" s="122" t="s">
        <v>18</v>
      </c>
      <c r="E11" s="421"/>
      <c r="F11" s="422"/>
      <c r="G11" s="421"/>
      <c r="H11" s="422"/>
      <c r="I11" s="421"/>
      <c r="J11" s="422"/>
      <c r="K11" s="421"/>
      <c r="L11" s="422"/>
      <c r="M11" s="421"/>
      <c r="N11" s="422"/>
      <c r="O11" s="421"/>
      <c r="P11" s="422"/>
      <c r="Q11" s="421"/>
      <c r="R11" s="422"/>
      <c r="S11" s="421"/>
      <c r="T11" s="422"/>
      <c r="U11" s="421"/>
      <c r="V11" s="422"/>
      <c r="W11" s="421"/>
      <c r="X11" s="422"/>
      <c r="Y11" s="421"/>
      <c r="Z11" s="422"/>
      <c r="AA11" s="421"/>
      <c r="AB11" s="422"/>
      <c r="AC11" s="423"/>
      <c r="AD11" s="424"/>
      <c r="AE11" s="92"/>
      <c r="AF11" s="92"/>
      <c r="AG11" s="92"/>
      <c r="AH11" s="292"/>
      <c r="AI11" s="94"/>
      <c r="AJ11" s="94"/>
      <c r="AK11" s="94"/>
      <c r="AL11" s="84"/>
    </row>
    <row r="12" spans="1:38" ht="15.75">
      <c r="A12" s="95">
        <v>6</v>
      </c>
      <c r="B12" s="119">
        <v>6</v>
      </c>
      <c r="C12" s="122" t="s">
        <v>447</v>
      </c>
      <c r="D12" s="122" t="s">
        <v>18</v>
      </c>
      <c r="E12" s="421"/>
      <c r="F12" s="422"/>
      <c r="G12" s="421"/>
      <c r="H12" s="422"/>
      <c r="I12" s="421"/>
      <c r="J12" s="422"/>
      <c r="K12" s="421"/>
      <c r="L12" s="422"/>
      <c r="M12" s="421"/>
      <c r="N12" s="422"/>
      <c r="O12" s="421"/>
      <c r="P12" s="422"/>
      <c r="Q12" s="421"/>
      <c r="R12" s="422"/>
      <c r="S12" s="421"/>
      <c r="T12" s="422"/>
      <c r="U12" s="421"/>
      <c r="V12" s="422"/>
      <c r="W12" s="421"/>
      <c r="X12" s="422"/>
      <c r="Y12" s="421"/>
      <c r="Z12" s="422"/>
      <c r="AA12" s="421"/>
      <c r="AB12" s="422"/>
      <c r="AC12" s="423"/>
      <c r="AD12" s="424"/>
      <c r="AE12" s="92"/>
      <c r="AF12" s="92"/>
      <c r="AG12" s="92"/>
      <c r="AH12" s="292"/>
      <c r="AI12" s="94"/>
      <c r="AJ12" s="94"/>
      <c r="AK12" s="94"/>
      <c r="AL12" s="84"/>
    </row>
    <row r="13" spans="1:38" ht="15.75">
      <c r="A13" s="95">
        <v>7</v>
      </c>
      <c r="B13" s="119">
        <v>7</v>
      </c>
      <c r="C13" s="122" t="s">
        <v>448</v>
      </c>
      <c r="D13" s="122" t="s">
        <v>22</v>
      </c>
      <c r="E13" s="421"/>
      <c r="F13" s="422"/>
      <c r="G13" s="421"/>
      <c r="H13" s="422"/>
      <c r="I13" s="421"/>
      <c r="J13" s="422"/>
      <c r="K13" s="421"/>
      <c r="L13" s="422"/>
      <c r="M13" s="421"/>
      <c r="N13" s="422"/>
      <c r="O13" s="421"/>
      <c r="P13" s="422"/>
      <c r="Q13" s="421"/>
      <c r="R13" s="422"/>
      <c r="S13" s="421"/>
      <c r="T13" s="422"/>
      <c r="U13" s="421"/>
      <c r="V13" s="422"/>
      <c r="W13" s="421"/>
      <c r="X13" s="422"/>
      <c r="Y13" s="421"/>
      <c r="Z13" s="422"/>
      <c r="AA13" s="421"/>
      <c r="AB13" s="422"/>
      <c r="AC13" s="423"/>
      <c r="AD13" s="424"/>
      <c r="AE13" s="92"/>
      <c r="AF13" s="92"/>
      <c r="AG13" s="92"/>
      <c r="AH13" s="292"/>
      <c r="AI13" s="94"/>
      <c r="AJ13" s="94"/>
      <c r="AK13" s="94"/>
      <c r="AL13" s="84"/>
    </row>
    <row r="14" spans="1:38" ht="15.75">
      <c r="A14" s="95">
        <v>8</v>
      </c>
      <c r="B14" s="119">
        <v>8</v>
      </c>
      <c r="C14" s="122" t="s">
        <v>449</v>
      </c>
      <c r="D14" s="122" t="s">
        <v>22</v>
      </c>
      <c r="E14" s="421"/>
      <c r="F14" s="422"/>
      <c r="G14" s="421"/>
      <c r="H14" s="422"/>
      <c r="I14" s="421"/>
      <c r="J14" s="422"/>
      <c r="K14" s="421"/>
      <c r="L14" s="422"/>
      <c r="M14" s="421"/>
      <c r="N14" s="422"/>
      <c r="O14" s="421"/>
      <c r="P14" s="422"/>
      <c r="Q14" s="421"/>
      <c r="R14" s="422"/>
      <c r="S14" s="421"/>
      <c r="T14" s="422"/>
      <c r="U14" s="421"/>
      <c r="V14" s="422"/>
      <c r="W14" s="421"/>
      <c r="X14" s="422"/>
      <c r="Y14" s="421"/>
      <c r="Z14" s="422"/>
      <c r="AA14" s="421"/>
      <c r="AB14" s="422"/>
      <c r="AC14" s="423"/>
      <c r="AD14" s="424"/>
      <c r="AE14" s="92"/>
      <c r="AF14" s="92"/>
      <c r="AG14" s="92"/>
      <c r="AH14" s="292"/>
      <c r="AI14" s="94"/>
      <c r="AJ14" s="94"/>
      <c r="AK14" s="94"/>
      <c r="AL14" s="84"/>
    </row>
    <row r="15" spans="1:38" ht="15.75">
      <c r="A15" s="95">
        <v>9</v>
      </c>
      <c r="B15" s="119">
        <v>9</v>
      </c>
      <c r="C15" s="122" t="s">
        <v>450</v>
      </c>
      <c r="D15" s="122" t="s">
        <v>92</v>
      </c>
      <c r="E15" s="421"/>
      <c r="F15" s="422"/>
      <c r="G15" s="421"/>
      <c r="H15" s="422"/>
      <c r="I15" s="421"/>
      <c r="J15" s="422"/>
      <c r="K15" s="421"/>
      <c r="L15" s="422"/>
      <c r="M15" s="421"/>
      <c r="N15" s="422"/>
      <c r="O15" s="421"/>
      <c r="P15" s="422"/>
      <c r="Q15" s="421"/>
      <c r="R15" s="422"/>
      <c r="S15" s="421"/>
      <c r="T15" s="422"/>
      <c r="U15" s="421"/>
      <c r="V15" s="422"/>
      <c r="W15" s="421"/>
      <c r="X15" s="422"/>
      <c r="Y15" s="421"/>
      <c r="Z15" s="422"/>
      <c r="AA15" s="421"/>
      <c r="AB15" s="422"/>
      <c r="AC15" s="423"/>
      <c r="AD15" s="424"/>
      <c r="AE15" s="92"/>
      <c r="AF15" s="92"/>
      <c r="AG15" s="92"/>
      <c r="AH15" s="292"/>
      <c r="AI15" s="94"/>
      <c r="AJ15" s="94"/>
      <c r="AK15" s="94"/>
      <c r="AL15" s="84"/>
    </row>
    <row r="16" spans="1:38" ht="15.75">
      <c r="A16" s="95">
        <v>10</v>
      </c>
      <c r="B16" s="119">
        <v>10</v>
      </c>
      <c r="C16" s="122" t="s">
        <v>451</v>
      </c>
      <c r="D16" s="122" t="s">
        <v>92</v>
      </c>
      <c r="E16" s="421"/>
      <c r="F16" s="422"/>
      <c r="G16" s="421"/>
      <c r="H16" s="422"/>
      <c r="I16" s="421"/>
      <c r="J16" s="422"/>
      <c r="K16" s="421"/>
      <c r="L16" s="422"/>
      <c r="M16" s="421"/>
      <c r="N16" s="422"/>
      <c r="O16" s="421"/>
      <c r="P16" s="422"/>
      <c r="Q16" s="421"/>
      <c r="R16" s="422"/>
      <c r="S16" s="421"/>
      <c r="T16" s="422"/>
      <c r="U16" s="421"/>
      <c r="V16" s="422"/>
      <c r="W16" s="421"/>
      <c r="X16" s="422"/>
      <c r="Y16" s="421"/>
      <c r="Z16" s="422"/>
      <c r="AA16" s="421"/>
      <c r="AB16" s="422"/>
      <c r="AC16" s="423"/>
      <c r="AD16" s="424"/>
      <c r="AE16" s="92"/>
      <c r="AF16" s="92"/>
      <c r="AG16" s="92"/>
      <c r="AH16" s="292"/>
      <c r="AI16" s="94"/>
      <c r="AJ16" s="94"/>
      <c r="AK16" s="94"/>
      <c r="AL16" s="84"/>
    </row>
    <row r="17" spans="1:38" ht="15.75">
      <c r="A17" s="95">
        <v>11</v>
      </c>
      <c r="B17" s="119">
        <v>11</v>
      </c>
      <c r="C17" s="122" t="s">
        <v>452</v>
      </c>
      <c r="D17" s="122" t="s">
        <v>19</v>
      </c>
      <c r="E17" s="421"/>
      <c r="F17" s="422"/>
      <c r="G17" s="421"/>
      <c r="H17" s="422"/>
      <c r="I17" s="421"/>
      <c r="J17" s="422"/>
      <c r="K17" s="421"/>
      <c r="L17" s="422"/>
      <c r="M17" s="421"/>
      <c r="N17" s="422"/>
      <c r="O17" s="421"/>
      <c r="P17" s="422"/>
      <c r="Q17" s="421"/>
      <c r="R17" s="422"/>
      <c r="S17" s="421"/>
      <c r="T17" s="422"/>
      <c r="U17" s="421"/>
      <c r="V17" s="422"/>
      <c r="W17" s="421"/>
      <c r="X17" s="422"/>
      <c r="Y17" s="421"/>
      <c r="Z17" s="422"/>
      <c r="AA17" s="421"/>
      <c r="AB17" s="422"/>
      <c r="AC17" s="423"/>
      <c r="AD17" s="424"/>
      <c r="AE17" s="92"/>
      <c r="AF17" s="92"/>
      <c r="AG17" s="92"/>
      <c r="AH17" s="292"/>
      <c r="AI17" s="94"/>
      <c r="AJ17" s="94"/>
      <c r="AK17" s="94"/>
      <c r="AL17" s="84"/>
    </row>
    <row r="18" spans="1:38" ht="15.75">
      <c r="A18" s="95">
        <v>12</v>
      </c>
      <c r="B18" s="119">
        <v>12</v>
      </c>
      <c r="C18" s="122" t="s">
        <v>453</v>
      </c>
      <c r="D18" s="122" t="s">
        <v>19</v>
      </c>
      <c r="E18" s="421"/>
      <c r="F18" s="422"/>
      <c r="G18" s="421"/>
      <c r="H18" s="422"/>
      <c r="I18" s="421"/>
      <c r="J18" s="422"/>
      <c r="K18" s="421"/>
      <c r="L18" s="422"/>
      <c r="M18" s="421"/>
      <c r="N18" s="422"/>
      <c r="O18" s="421"/>
      <c r="P18" s="422"/>
      <c r="Q18" s="421"/>
      <c r="R18" s="422"/>
      <c r="S18" s="421"/>
      <c r="T18" s="422"/>
      <c r="U18" s="421"/>
      <c r="V18" s="422"/>
      <c r="W18" s="421"/>
      <c r="X18" s="422"/>
      <c r="Y18" s="421"/>
      <c r="Z18" s="422"/>
      <c r="AA18" s="421"/>
      <c r="AB18" s="422"/>
      <c r="AC18" s="423"/>
      <c r="AD18" s="424"/>
      <c r="AE18" s="92"/>
      <c r="AF18" s="92"/>
      <c r="AG18" s="92"/>
      <c r="AH18" s="292"/>
      <c r="AI18" s="94"/>
      <c r="AJ18" s="94"/>
      <c r="AK18" s="94"/>
      <c r="AL18" s="84"/>
    </row>
    <row r="19" spans="1:38" ht="15.75">
      <c r="A19" s="95">
        <v>13</v>
      </c>
      <c r="B19" s="288" t="s">
        <v>730</v>
      </c>
      <c r="C19" s="228" t="s">
        <v>731</v>
      </c>
      <c r="D19" s="228" t="s">
        <v>19</v>
      </c>
      <c r="E19" s="421"/>
      <c r="F19" s="422"/>
      <c r="G19" s="421"/>
      <c r="H19" s="422"/>
      <c r="I19" s="421"/>
      <c r="J19" s="422"/>
      <c r="K19" s="421"/>
      <c r="L19" s="422"/>
      <c r="M19" s="421"/>
      <c r="N19" s="422"/>
      <c r="O19" s="421"/>
      <c r="P19" s="422"/>
      <c r="Q19" s="421"/>
      <c r="R19" s="422"/>
      <c r="S19" s="421"/>
      <c r="T19" s="422"/>
      <c r="U19" s="421"/>
      <c r="V19" s="422"/>
      <c r="W19" s="421"/>
      <c r="X19" s="422"/>
      <c r="Y19" s="421"/>
      <c r="Z19" s="422"/>
      <c r="AA19" s="421"/>
      <c r="AB19" s="422"/>
      <c r="AC19" s="423"/>
      <c r="AD19" s="424"/>
      <c r="AE19" s="92"/>
      <c r="AF19" s="92"/>
      <c r="AG19" s="92"/>
      <c r="AH19" s="292"/>
      <c r="AI19" s="94"/>
      <c r="AJ19" s="94"/>
      <c r="AK19" s="94"/>
      <c r="AL19" s="84"/>
    </row>
    <row r="20" spans="1:38" ht="12.75">
      <c r="A20" s="95"/>
      <c r="B20" s="119"/>
      <c r="C20" s="119"/>
      <c r="D20" s="119"/>
      <c r="E20" s="421"/>
      <c r="F20" s="422"/>
      <c r="G20" s="421"/>
      <c r="H20" s="422"/>
      <c r="I20" s="421"/>
      <c r="J20" s="422"/>
      <c r="K20" s="421"/>
      <c r="L20" s="422"/>
      <c r="M20" s="421"/>
      <c r="N20" s="422"/>
      <c r="O20" s="421"/>
      <c r="P20" s="422"/>
      <c r="Q20" s="421"/>
      <c r="R20" s="422"/>
      <c r="S20" s="421"/>
      <c r="T20" s="422"/>
      <c r="U20" s="421"/>
      <c r="V20" s="422"/>
      <c r="W20" s="421"/>
      <c r="X20" s="422"/>
      <c r="Y20" s="421"/>
      <c r="Z20" s="422"/>
      <c r="AA20" s="421"/>
      <c r="AB20" s="422"/>
      <c r="AC20" s="423"/>
      <c r="AD20" s="424"/>
      <c r="AE20" s="92"/>
      <c r="AF20" s="92"/>
      <c r="AG20" s="92"/>
      <c r="AH20" s="93"/>
      <c r="AI20" s="94"/>
      <c r="AJ20" s="94"/>
      <c r="AK20" s="94"/>
      <c r="AL20" s="84"/>
    </row>
    <row r="21" spans="1:38" ht="17.25" customHeight="1">
      <c r="A21" s="95"/>
      <c r="B21" s="167"/>
      <c r="C21" s="167"/>
      <c r="D21" s="167"/>
      <c r="E21" s="421"/>
      <c r="F21" s="422"/>
      <c r="G21" s="421"/>
      <c r="H21" s="422"/>
      <c r="I21" s="421"/>
      <c r="J21" s="422"/>
      <c r="K21" s="421"/>
      <c r="L21" s="422"/>
      <c r="M21" s="421"/>
      <c r="N21" s="422"/>
      <c r="O21" s="421"/>
      <c r="P21" s="422"/>
      <c r="Q21" s="421"/>
      <c r="R21" s="422"/>
      <c r="S21" s="421"/>
      <c r="T21" s="422"/>
      <c r="U21" s="421"/>
      <c r="V21" s="422"/>
      <c r="W21" s="421"/>
      <c r="X21" s="422"/>
      <c r="Y21" s="421"/>
      <c r="Z21" s="422"/>
      <c r="AA21" s="421"/>
      <c r="AB21" s="422"/>
      <c r="AC21" s="423"/>
      <c r="AD21" s="424"/>
      <c r="AE21" s="92"/>
      <c r="AF21" s="92"/>
      <c r="AG21" s="92"/>
      <c r="AH21" s="93"/>
      <c r="AI21" s="94"/>
      <c r="AJ21" s="94"/>
      <c r="AK21" s="94"/>
      <c r="AL21" s="84"/>
    </row>
    <row r="22" spans="1:38" ht="12.7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99"/>
      <c r="AE22" s="98"/>
      <c r="AF22" s="98"/>
      <c r="AG22" s="98"/>
      <c r="AH22" s="98"/>
      <c r="AI22" s="98"/>
      <c r="AJ22" s="98"/>
      <c r="AK22" s="98"/>
      <c r="AL22" s="84"/>
    </row>
    <row r="23" spans="1:38" ht="12.75">
      <c r="A23" s="411" t="s">
        <v>172</v>
      </c>
      <c r="B23" s="417"/>
      <c r="C23" s="417"/>
      <c r="D23" s="417"/>
      <c r="E23" s="417"/>
      <c r="F23" s="418"/>
      <c r="G23" s="411" t="s">
        <v>172</v>
      </c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8"/>
      <c r="Y23" s="416" t="s">
        <v>173</v>
      </c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8"/>
      <c r="AL23" s="84"/>
    </row>
    <row r="24" spans="1:38" ht="12.75">
      <c r="A24" s="95" t="s">
        <v>0</v>
      </c>
      <c r="B24" s="95" t="s">
        <v>174</v>
      </c>
      <c r="C24" s="95" t="s">
        <v>156</v>
      </c>
      <c r="D24" s="95" t="s">
        <v>157</v>
      </c>
      <c r="E24" s="416" t="s">
        <v>183</v>
      </c>
      <c r="F24" s="418"/>
      <c r="G24" s="416" t="s">
        <v>0</v>
      </c>
      <c r="H24" s="419"/>
      <c r="I24" s="416" t="s">
        <v>174</v>
      </c>
      <c r="J24" s="418"/>
      <c r="K24" s="416" t="s">
        <v>156</v>
      </c>
      <c r="L24" s="417"/>
      <c r="M24" s="417"/>
      <c r="N24" s="417"/>
      <c r="O24" s="417"/>
      <c r="P24" s="417"/>
      <c r="Q24" s="420" t="s">
        <v>157</v>
      </c>
      <c r="R24" s="417"/>
      <c r="S24" s="417"/>
      <c r="T24" s="417"/>
      <c r="U24" s="417"/>
      <c r="V24" s="418"/>
      <c r="W24" s="416" t="s">
        <v>183</v>
      </c>
      <c r="X24" s="418"/>
      <c r="Y24" s="100"/>
      <c r="Z24" s="101"/>
      <c r="AA24" s="101"/>
      <c r="AB24" s="101"/>
      <c r="AC24" s="102"/>
      <c r="AD24" s="102"/>
      <c r="AE24" s="81"/>
      <c r="AF24" s="81"/>
      <c r="AG24" s="103"/>
      <c r="AH24" s="103"/>
      <c r="AI24" s="103"/>
      <c r="AJ24" s="103"/>
      <c r="AK24" s="104"/>
      <c r="AL24" s="84"/>
    </row>
    <row r="25" spans="1:38" ht="16.5" customHeight="1">
      <c r="A25" s="106">
        <v>1</v>
      </c>
      <c r="B25" s="106"/>
      <c r="C25" s="107"/>
      <c r="D25" s="107"/>
      <c r="E25" s="407"/>
      <c r="F25" s="408"/>
      <c r="G25" s="409">
        <v>9</v>
      </c>
      <c r="H25" s="410">
        <f aca="true" t="shared" si="0" ref="H25:H32">IF(ISERROR(VLOOKUP(G25,$C$6:$AR$21,31,FALSE))=TRUE,"",CONCATENATE(VLOOKUP(G25,$C$6:$AR$21,38,FALSE),VLOOKUP(G25,$C$6:$AR$21,42,FALSE)))</f>
      </c>
      <c r="I25" s="411"/>
      <c r="J25" s="412"/>
      <c r="K25" s="413"/>
      <c r="L25" s="414"/>
      <c r="M25" s="414"/>
      <c r="N25" s="414"/>
      <c r="O25" s="414"/>
      <c r="P25" s="415"/>
      <c r="Q25" s="413"/>
      <c r="R25" s="414"/>
      <c r="S25" s="414"/>
      <c r="T25" s="414"/>
      <c r="U25" s="414"/>
      <c r="V25" s="415"/>
      <c r="W25" s="407"/>
      <c r="X25" s="408"/>
      <c r="Y25" s="108"/>
      <c r="Z25" s="109"/>
      <c r="AA25" s="109"/>
      <c r="AB25" s="109"/>
      <c r="AC25" s="110"/>
      <c r="AD25" s="110"/>
      <c r="AE25" s="109"/>
      <c r="AF25" s="109"/>
      <c r="AG25" s="109"/>
      <c r="AH25" s="111"/>
      <c r="AI25" s="111"/>
      <c r="AJ25" s="111"/>
      <c r="AK25" s="112"/>
      <c r="AL25" s="84"/>
    </row>
    <row r="26" spans="1:38" ht="16.5" customHeight="1">
      <c r="A26" s="106">
        <v>2</v>
      </c>
      <c r="B26" s="106"/>
      <c r="C26" s="107"/>
      <c r="D26" s="107"/>
      <c r="E26" s="407"/>
      <c r="F26" s="408"/>
      <c r="G26" s="409">
        <v>10</v>
      </c>
      <c r="H26" s="410">
        <f t="shared" si="0"/>
      </c>
      <c r="I26" s="411"/>
      <c r="J26" s="412"/>
      <c r="K26" s="413"/>
      <c r="L26" s="414"/>
      <c r="M26" s="414"/>
      <c r="N26" s="414"/>
      <c r="O26" s="414"/>
      <c r="P26" s="415"/>
      <c r="Q26" s="413"/>
      <c r="R26" s="414"/>
      <c r="S26" s="414"/>
      <c r="T26" s="414"/>
      <c r="U26" s="414"/>
      <c r="V26" s="415"/>
      <c r="W26" s="407"/>
      <c r="X26" s="408"/>
      <c r="Y26" s="113"/>
      <c r="Z26" s="105"/>
      <c r="AA26" s="105"/>
      <c r="AB26" s="105"/>
      <c r="AC26" s="114"/>
      <c r="AD26" s="114"/>
      <c r="AE26" s="105"/>
      <c r="AF26" s="105"/>
      <c r="AG26" s="105"/>
      <c r="AH26" s="84"/>
      <c r="AI26" s="84"/>
      <c r="AJ26" s="84"/>
      <c r="AK26" s="115"/>
      <c r="AL26" s="84"/>
    </row>
    <row r="27" spans="1:38" ht="16.5" customHeight="1">
      <c r="A27" s="106">
        <v>3</v>
      </c>
      <c r="B27" s="106"/>
      <c r="C27" s="107"/>
      <c r="D27" s="107"/>
      <c r="E27" s="407"/>
      <c r="F27" s="408"/>
      <c r="G27" s="409">
        <v>11</v>
      </c>
      <c r="H27" s="410">
        <f t="shared" si="0"/>
      </c>
      <c r="I27" s="411"/>
      <c r="J27" s="412"/>
      <c r="K27" s="413"/>
      <c r="L27" s="414"/>
      <c r="M27" s="414"/>
      <c r="N27" s="414"/>
      <c r="O27" s="414"/>
      <c r="P27" s="415"/>
      <c r="Q27" s="413"/>
      <c r="R27" s="414"/>
      <c r="S27" s="414"/>
      <c r="T27" s="414"/>
      <c r="U27" s="414"/>
      <c r="V27" s="415"/>
      <c r="W27" s="407"/>
      <c r="X27" s="408"/>
      <c r="Y27" s="113"/>
      <c r="Z27" s="105"/>
      <c r="AA27" s="105"/>
      <c r="AB27" s="105"/>
      <c r="AC27" s="114"/>
      <c r="AD27" s="114"/>
      <c r="AE27" s="105"/>
      <c r="AF27" s="105"/>
      <c r="AG27" s="105"/>
      <c r="AH27" s="84"/>
      <c r="AI27" s="84"/>
      <c r="AJ27" s="84"/>
      <c r="AK27" s="115"/>
      <c r="AL27" s="84"/>
    </row>
    <row r="28" spans="1:38" ht="16.5" customHeight="1">
      <c r="A28" s="106">
        <v>4</v>
      </c>
      <c r="B28" s="106"/>
      <c r="C28" s="107"/>
      <c r="D28" s="107"/>
      <c r="E28" s="407"/>
      <c r="F28" s="408"/>
      <c r="G28" s="409">
        <v>12</v>
      </c>
      <c r="H28" s="410">
        <f t="shared" si="0"/>
      </c>
      <c r="I28" s="411"/>
      <c r="J28" s="412"/>
      <c r="K28" s="413"/>
      <c r="L28" s="414"/>
      <c r="M28" s="414"/>
      <c r="N28" s="414"/>
      <c r="O28" s="414"/>
      <c r="P28" s="415"/>
      <c r="Q28" s="413"/>
      <c r="R28" s="414"/>
      <c r="S28" s="414"/>
      <c r="T28" s="414"/>
      <c r="U28" s="414"/>
      <c r="V28" s="415"/>
      <c r="W28" s="407"/>
      <c r="X28" s="408"/>
      <c r="Y28" s="116"/>
      <c r="Z28" s="103"/>
      <c r="AA28" s="103"/>
      <c r="AB28" s="103"/>
      <c r="AC28" s="117"/>
      <c r="AD28" s="117"/>
      <c r="AE28" s="103"/>
      <c r="AF28" s="103"/>
      <c r="AG28" s="103"/>
      <c r="AH28" s="81"/>
      <c r="AI28" s="81"/>
      <c r="AJ28" s="81"/>
      <c r="AK28" s="83"/>
      <c r="AL28" s="84"/>
    </row>
    <row r="29" spans="1:38" ht="16.5" customHeight="1">
      <c r="A29" s="106">
        <v>5</v>
      </c>
      <c r="B29" s="106"/>
      <c r="C29" s="107"/>
      <c r="D29" s="107"/>
      <c r="E29" s="407"/>
      <c r="F29" s="408"/>
      <c r="G29" s="409">
        <v>13</v>
      </c>
      <c r="H29" s="410">
        <f t="shared" si="0"/>
      </c>
      <c r="I29" s="411"/>
      <c r="J29" s="412"/>
      <c r="K29" s="413"/>
      <c r="L29" s="414"/>
      <c r="M29" s="414"/>
      <c r="N29" s="414"/>
      <c r="O29" s="414"/>
      <c r="P29" s="415"/>
      <c r="Q29" s="413"/>
      <c r="R29" s="414"/>
      <c r="S29" s="414"/>
      <c r="T29" s="414"/>
      <c r="U29" s="414"/>
      <c r="V29" s="415"/>
      <c r="W29" s="407"/>
      <c r="X29" s="408"/>
      <c r="Y29" s="108"/>
      <c r="Z29" s="109"/>
      <c r="AA29" s="109"/>
      <c r="AB29" s="109"/>
      <c r="AC29" s="110"/>
      <c r="AD29" s="110"/>
      <c r="AE29" s="109"/>
      <c r="AF29" s="109"/>
      <c r="AG29" s="109"/>
      <c r="AH29" s="111"/>
      <c r="AI29" s="111"/>
      <c r="AJ29" s="111"/>
      <c r="AK29" s="112"/>
      <c r="AL29" s="84"/>
    </row>
    <row r="30" spans="1:38" ht="16.5" customHeight="1">
      <c r="A30" s="106">
        <v>6</v>
      </c>
      <c r="B30" s="106"/>
      <c r="C30" s="107"/>
      <c r="D30" s="107"/>
      <c r="E30" s="407"/>
      <c r="F30" s="408"/>
      <c r="G30" s="409">
        <v>14</v>
      </c>
      <c r="H30" s="410">
        <f t="shared" si="0"/>
      </c>
      <c r="I30" s="411"/>
      <c r="J30" s="412"/>
      <c r="K30" s="413"/>
      <c r="L30" s="414"/>
      <c r="M30" s="414"/>
      <c r="N30" s="414"/>
      <c r="O30" s="414"/>
      <c r="P30" s="415"/>
      <c r="Q30" s="413"/>
      <c r="R30" s="414"/>
      <c r="S30" s="414"/>
      <c r="T30" s="414"/>
      <c r="U30" s="414"/>
      <c r="V30" s="415"/>
      <c r="W30" s="407"/>
      <c r="X30" s="408"/>
      <c r="Y30" s="416" t="s">
        <v>176</v>
      </c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8"/>
      <c r="AL30" s="84"/>
    </row>
    <row r="31" spans="1:38" ht="16.5" customHeight="1">
      <c r="A31" s="106">
        <v>7</v>
      </c>
      <c r="B31" s="106"/>
      <c r="C31" s="107"/>
      <c r="D31" s="107"/>
      <c r="E31" s="407"/>
      <c r="F31" s="408"/>
      <c r="G31" s="409">
        <v>15</v>
      </c>
      <c r="H31" s="410">
        <f t="shared" si="0"/>
      </c>
      <c r="I31" s="411"/>
      <c r="J31" s="412"/>
      <c r="K31" s="413"/>
      <c r="L31" s="414"/>
      <c r="M31" s="414"/>
      <c r="N31" s="414"/>
      <c r="O31" s="414"/>
      <c r="P31" s="415"/>
      <c r="Q31" s="413"/>
      <c r="R31" s="414"/>
      <c r="S31" s="414"/>
      <c r="T31" s="414"/>
      <c r="U31" s="414"/>
      <c r="V31" s="415"/>
      <c r="W31" s="407"/>
      <c r="X31" s="408"/>
      <c r="Y31" s="116"/>
      <c r="Z31" s="103"/>
      <c r="AA31" s="103"/>
      <c r="AB31" s="103"/>
      <c r="AC31" s="117"/>
      <c r="AD31" s="82"/>
      <c r="AE31" s="81"/>
      <c r="AF31" s="81"/>
      <c r="AG31" s="81"/>
      <c r="AH31" s="81"/>
      <c r="AI31" s="81"/>
      <c r="AJ31" s="81"/>
      <c r="AK31" s="83"/>
      <c r="AL31" s="84"/>
    </row>
    <row r="32" spans="1:38" ht="16.5" customHeight="1">
      <c r="A32" s="106">
        <v>8</v>
      </c>
      <c r="B32" s="106"/>
      <c r="C32" s="107"/>
      <c r="D32" s="107"/>
      <c r="E32" s="407"/>
      <c r="F32" s="408"/>
      <c r="G32" s="409">
        <v>16</v>
      </c>
      <c r="H32" s="410">
        <f t="shared" si="0"/>
      </c>
      <c r="I32" s="411"/>
      <c r="J32" s="412"/>
      <c r="K32" s="413"/>
      <c r="L32" s="414"/>
      <c r="M32" s="414"/>
      <c r="N32" s="414"/>
      <c r="O32" s="414"/>
      <c r="P32" s="415"/>
      <c r="Q32" s="413"/>
      <c r="R32" s="414"/>
      <c r="S32" s="414"/>
      <c r="T32" s="414"/>
      <c r="U32" s="414"/>
      <c r="V32" s="415"/>
      <c r="W32" s="407"/>
      <c r="X32" s="408"/>
      <c r="Y32" s="108"/>
      <c r="Z32" s="109"/>
      <c r="AA32" s="109"/>
      <c r="AB32" s="109"/>
      <c r="AC32" s="110"/>
      <c r="AD32" s="118"/>
      <c r="AE32" s="111"/>
      <c r="AF32" s="111"/>
      <c r="AG32" s="111"/>
      <c r="AH32" s="111"/>
      <c r="AI32" s="111"/>
      <c r="AJ32" s="111"/>
      <c r="AK32" s="112"/>
      <c r="AL32" s="84"/>
    </row>
    <row r="33" spans="1:38" ht="16.5" customHeight="1">
      <c r="A33" s="223"/>
      <c r="B33" s="219"/>
      <c r="C33" s="220"/>
      <c r="D33" s="220"/>
      <c r="E33" s="221"/>
      <c r="F33" s="221"/>
      <c r="G33" s="218"/>
      <c r="H33" s="218"/>
      <c r="I33" s="219"/>
      <c r="J33" s="219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221"/>
      <c r="Y33" s="105"/>
      <c r="Z33" s="105"/>
      <c r="AA33" s="105"/>
      <c r="AB33" s="105"/>
      <c r="AC33" s="114"/>
      <c r="AD33" s="222"/>
      <c r="AE33" s="84"/>
      <c r="AF33" s="84"/>
      <c r="AG33" s="84"/>
      <c r="AH33" s="84"/>
      <c r="AI33" s="84"/>
      <c r="AJ33" s="84"/>
      <c r="AK33" s="115"/>
      <c r="AL33" s="84"/>
    </row>
    <row r="34" spans="1:38" ht="16.5" customHeight="1">
      <c r="A34" s="224"/>
      <c r="B34" s="224"/>
      <c r="C34" s="225"/>
      <c r="D34" s="225"/>
      <c r="E34" s="226"/>
      <c r="F34" s="226"/>
      <c r="G34" s="227"/>
      <c r="H34" s="227"/>
      <c r="I34" s="224"/>
      <c r="J34" s="224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6"/>
      <c r="X34" s="226"/>
      <c r="Y34" s="105"/>
      <c r="Z34" s="105"/>
      <c r="AA34" s="105"/>
      <c r="AB34" s="105"/>
      <c r="AC34" s="114"/>
      <c r="AD34" s="222"/>
      <c r="AE34" s="84"/>
      <c r="AF34" s="84"/>
      <c r="AG34" s="84"/>
      <c r="AH34" s="84"/>
      <c r="AI34" s="84"/>
      <c r="AJ34" s="84"/>
      <c r="AK34" s="84"/>
      <c r="AL34" s="84"/>
    </row>
    <row r="35" spans="1:38" ht="16.5" customHeight="1">
      <c r="A35" s="224"/>
      <c r="B35" s="224"/>
      <c r="C35" s="225"/>
      <c r="D35" s="225"/>
      <c r="E35" s="226"/>
      <c r="F35" s="226"/>
      <c r="G35" s="227"/>
      <c r="H35" s="227"/>
      <c r="I35" s="224"/>
      <c r="J35" s="224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6"/>
      <c r="X35" s="226"/>
      <c r="Y35" s="105"/>
      <c r="Z35" s="105"/>
      <c r="AA35" s="105"/>
      <c r="AB35" s="105"/>
      <c r="AC35" s="114"/>
      <c r="AD35" s="222"/>
      <c r="AE35" s="84"/>
      <c r="AF35" s="84"/>
      <c r="AG35" s="84"/>
      <c r="AH35" s="84"/>
      <c r="AI35" s="84"/>
      <c r="AJ35" s="84"/>
      <c r="AK35" s="84"/>
      <c r="AL35" s="84"/>
    </row>
    <row r="36" spans="1:38" ht="20.25">
      <c r="A36" s="80" t="s">
        <v>178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91"/>
      <c r="AD36" s="291"/>
      <c r="AE36" s="252"/>
      <c r="AF36" s="252"/>
      <c r="AG36" s="252"/>
      <c r="AH36" s="252"/>
      <c r="AI36" s="252"/>
      <c r="AJ36" s="252"/>
      <c r="AK36" s="251"/>
      <c r="AL36" s="84"/>
    </row>
    <row r="37" spans="1:38" ht="12.75">
      <c r="A37" s="428" t="s">
        <v>148</v>
      </c>
      <c r="B37" s="429"/>
      <c r="C37" s="341" t="s">
        <v>319</v>
      </c>
      <c r="D37" s="342"/>
      <c r="E37" s="428" t="s">
        <v>149</v>
      </c>
      <c r="F37" s="430"/>
      <c r="G37" s="429"/>
      <c r="H37" s="411" t="s">
        <v>360</v>
      </c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12"/>
      <c r="W37" s="428" t="s">
        <v>150</v>
      </c>
      <c r="X37" s="430"/>
      <c r="Y37" s="429"/>
      <c r="Z37" s="432" t="s">
        <v>368</v>
      </c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66"/>
      <c r="AL37" s="84"/>
    </row>
    <row r="38" spans="1:38" ht="12.75">
      <c r="A38" s="428" t="s">
        <v>179</v>
      </c>
      <c r="B38" s="429"/>
      <c r="C38" s="377" t="s">
        <v>194</v>
      </c>
      <c r="D38" s="378"/>
      <c r="E38" s="428" t="s">
        <v>151</v>
      </c>
      <c r="F38" s="430"/>
      <c r="G38" s="429"/>
      <c r="H38" s="436" t="s">
        <v>195</v>
      </c>
      <c r="I38" s="437"/>
      <c r="J38" s="438"/>
      <c r="K38" s="428" t="s">
        <v>152</v>
      </c>
      <c r="L38" s="430"/>
      <c r="M38" s="430"/>
      <c r="N38" s="430"/>
      <c r="O38" s="430"/>
      <c r="P38" s="429"/>
      <c r="Q38" s="439"/>
      <c r="R38" s="440"/>
      <c r="S38" s="441"/>
      <c r="T38" s="442" t="s">
        <v>153</v>
      </c>
      <c r="U38" s="443"/>
      <c r="V38" s="444"/>
      <c r="W38" s="445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7"/>
      <c r="AL38" s="84"/>
    </row>
    <row r="39" spans="1:38" ht="12.75">
      <c r="A39" s="85" t="s">
        <v>154</v>
      </c>
      <c r="B39" s="85" t="s">
        <v>155</v>
      </c>
      <c r="C39" s="85" t="s">
        <v>156</v>
      </c>
      <c r="D39" s="86" t="s">
        <v>157</v>
      </c>
      <c r="E39" s="448"/>
      <c r="F39" s="467"/>
      <c r="G39" s="448"/>
      <c r="H39" s="467"/>
      <c r="I39" s="448"/>
      <c r="J39" s="467"/>
      <c r="K39" s="448"/>
      <c r="L39" s="467"/>
      <c r="M39" s="448"/>
      <c r="N39" s="467"/>
      <c r="O39" s="448"/>
      <c r="P39" s="467"/>
      <c r="Q39" s="448"/>
      <c r="R39" s="467"/>
      <c r="S39" s="448"/>
      <c r="T39" s="467"/>
      <c r="U39" s="448"/>
      <c r="V39" s="467"/>
      <c r="W39" s="448"/>
      <c r="X39" s="467"/>
      <c r="Y39" s="448"/>
      <c r="Z39" s="467"/>
      <c r="AA39" s="448"/>
      <c r="AB39" s="467"/>
      <c r="AC39" s="426" t="s">
        <v>166</v>
      </c>
      <c r="AD39" s="427"/>
      <c r="AE39" s="454" t="s">
        <v>180</v>
      </c>
      <c r="AF39" s="454" t="s">
        <v>181</v>
      </c>
      <c r="AG39" s="454" t="s">
        <v>182</v>
      </c>
      <c r="AH39" s="454" t="s">
        <v>167</v>
      </c>
      <c r="AI39" s="87"/>
      <c r="AJ39" s="456" t="s">
        <v>168</v>
      </c>
      <c r="AK39" s="457"/>
      <c r="AL39" s="84"/>
    </row>
    <row r="40" spans="1:38" ht="12.75">
      <c r="A40" s="88"/>
      <c r="B40" s="88"/>
      <c r="C40" s="89"/>
      <c r="D40" s="90"/>
      <c r="E40" s="425" t="s">
        <v>169</v>
      </c>
      <c r="F40" s="468"/>
      <c r="G40" s="425" t="s">
        <v>169</v>
      </c>
      <c r="H40" s="468"/>
      <c r="I40" s="425" t="s">
        <v>169</v>
      </c>
      <c r="J40" s="468"/>
      <c r="K40" s="425" t="s">
        <v>169</v>
      </c>
      <c r="L40" s="468"/>
      <c r="M40" s="425" t="s">
        <v>169</v>
      </c>
      <c r="N40" s="468"/>
      <c r="O40" s="425" t="s">
        <v>169</v>
      </c>
      <c r="P40" s="468"/>
      <c r="Q40" s="425" t="s">
        <v>169</v>
      </c>
      <c r="R40" s="468"/>
      <c r="S40" s="425" t="s">
        <v>169</v>
      </c>
      <c r="T40" s="468"/>
      <c r="U40" s="425" t="s">
        <v>169</v>
      </c>
      <c r="V40" s="468"/>
      <c r="W40" s="425" t="s">
        <v>169</v>
      </c>
      <c r="X40" s="468"/>
      <c r="Y40" s="425" t="s">
        <v>169</v>
      </c>
      <c r="Z40" s="468"/>
      <c r="AA40" s="425" t="s">
        <v>169</v>
      </c>
      <c r="AB40" s="468"/>
      <c r="AC40" s="426" t="s">
        <v>169</v>
      </c>
      <c r="AD40" s="427"/>
      <c r="AE40" s="453"/>
      <c r="AF40" s="453"/>
      <c r="AG40" s="453"/>
      <c r="AH40" s="455"/>
      <c r="AI40" s="91"/>
      <c r="AJ40" s="458"/>
      <c r="AK40" s="459"/>
      <c r="AL40" s="84"/>
    </row>
    <row r="41" spans="1:38" ht="17.25" customHeight="1">
      <c r="A41" s="88"/>
      <c r="B41" s="248"/>
      <c r="C41" s="120" t="s">
        <v>406</v>
      </c>
      <c r="D41" s="370" t="s">
        <v>357</v>
      </c>
      <c r="E41" s="371"/>
      <c r="F41" s="371"/>
      <c r="G41" s="371"/>
      <c r="H41" s="372"/>
      <c r="I41" s="421"/>
      <c r="J41" s="422"/>
      <c r="K41" s="421"/>
      <c r="L41" s="422"/>
      <c r="M41" s="421"/>
      <c r="N41" s="422"/>
      <c r="O41" s="421"/>
      <c r="P41" s="422"/>
      <c r="Q41" s="421"/>
      <c r="R41" s="422"/>
      <c r="S41" s="421"/>
      <c r="T41" s="422"/>
      <c r="U41" s="421"/>
      <c r="V41" s="422"/>
      <c r="W41" s="421"/>
      <c r="X41" s="422"/>
      <c r="Y41" s="421"/>
      <c r="Z41" s="422"/>
      <c r="AA41" s="421"/>
      <c r="AB41" s="422"/>
      <c r="AC41" s="423"/>
      <c r="AD41" s="424"/>
      <c r="AE41" s="92"/>
      <c r="AF41" s="92"/>
      <c r="AG41" s="92"/>
      <c r="AH41" s="93"/>
      <c r="AI41" s="94"/>
      <c r="AJ41" s="94"/>
      <c r="AK41" s="94"/>
      <c r="AL41" s="84"/>
    </row>
    <row r="42" spans="1:38" ht="15.75">
      <c r="A42" s="95">
        <v>1</v>
      </c>
      <c r="B42" s="119">
        <v>7</v>
      </c>
      <c r="C42" s="122" t="s">
        <v>552</v>
      </c>
      <c r="D42" s="122" t="s">
        <v>22</v>
      </c>
      <c r="E42" s="421"/>
      <c r="F42" s="422"/>
      <c r="G42" s="421"/>
      <c r="H42" s="422"/>
      <c r="I42" s="421"/>
      <c r="J42" s="422"/>
      <c r="K42" s="421"/>
      <c r="L42" s="422"/>
      <c r="M42" s="421"/>
      <c r="N42" s="422"/>
      <c r="O42" s="421"/>
      <c r="P42" s="422"/>
      <c r="Q42" s="421"/>
      <c r="R42" s="422"/>
      <c r="S42" s="421"/>
      <c r="T42" s="422"/>
      <c r="U42" s="421"/>
      <c r="V42" s="422"/>
      <c r="W42" s="421"/>
      <c r="X42" s="422"/>
      <c r="Y42" s="421"/>
      <c r="Z42" s="422"/>
      <c r="AA42" s="421"/>
      <c r="AB42" s="422"/>
      <c r="AC42" s="423"/>
      <c r="AD42" s="424"/>
      <c r="AE42" s="92"/>
      <c r="AF42" s="92"/>
      <c r="AG42" s="92"/>
      <c r="AH42" s="96"/>
      <c r="AI42" s="94"/>
      <c r="AJ42" s="94"/>
      <c r="AK42" s="94"/>
      <c r="AL42" s="84"/>
    </row>
    <row r="43" spans="1:38" ht="15.75">
      <c r="A43" s="95"/>
      <c r="B43" s="119"/>
      <c r="C43" s="122"/>
      <c r="D43" s="122"/>
      <c r="E43" s="421"/>
      <c r="F43" s="422"/>
      <c r="G43" s="421"/>
      <c r="H43" s="422"/>
      <c r="I43" s="421"/>
      <c r="J43" s="422"/>
      <c r="K43" s="421"/>
      <c r="L43" s="422"/>
      <c r="M43" s="421"/>
      <c r="N43" s="422"/>
      <c r="O43" s="421"/>
      <c r="P43" s="422"/>
      <c r="Q43" s="421"/>
      <c r="R43" s="422"/>
      <c r="S43" s="421"/>
      <c r="T43" s="422"/>
      <c r="U43" s="421"/>
      <c r="V43" s="422"/>
      <c r="W43" s="421"/>
      <c r="X43" s="422"/>
      <c r="Y43" s="421"/>
      <c r="Z43" s="422"/>
      <c r="AA43" s="421"/>
      <c r="AB43" s="422"/>
      <c r="AC43" s="423"/>
      <c r="AD43" s="424"/>
      <c r="AE43" s="92"/>
      <c r="AF43" s="92"/>
      <c r="AG43" s="92"/>
      <c r="AH43" s="96"/>
      <c r="AI43" s="94"/>
      <c r="AJ43" s="94"/>
      <c r="AK43" s="94"/>
      <c r="AL43" s="84"/>
    </row>
    <row r="44" spans="1:38" ht="15.75">
      <c r="A44" s="95"/>
      <c r="B44" s="119"/>
      <c r="C44" s="120" t="s">
        <v>407</v>
      </c>
      <c r="D44" s="370" t="s">
        <v>358</v>
      </c>
      <c r="E44" s="371"/>
      <c r="F44" s="371"/>
      <c r="G44" s="371"/>
      <c r="H44" s="372"/>
      <c r="I44" s="421"/>
      <c r="J44" s="422"/>
      <c r="K44" s="421"/>
      <c r="L44" s="422"/>
      <c r="M44" s="421"/>
      <c r="N44" s="422"/>
      <c r="O44" s="421"/>
      <c r="P44" s="422"/>
      <c r="Q44" s="421"/>
      <c r="R44" s="422"/>
      <c r="S44" s="421"/>
      <c r="T44" s="422"/>
      <c r="U44" s="421"/>
      <c r="V44" s="422"/>
      <c r="W44" s="421"/>
      <c r="X44" s="422"/>
      <c r="Y44" s="421"/>
      <c r="Z44" s="422"/>
      <c r="AA44" s="421"/>
      <c r="AB44" s="422"/>
      <c r="AC44" s="423"/>
      <c r="AD44" s="424"/>
      <c r="AE44" s="92"/>
      <c r="AF44" s="92"/>
      <c r="AG44" s="92"/>
      <c r="AH44" s="96"/>
      <c r="AI44" s="94"/>
      <c r="AJ44" s="94"/>
      <c r="AK44" s="94"/>
      <c r="AL44" s="84"/>
    </row>
    <row r="45" spans="1:38" ht="15.75">
      <c r="A45" s="95">
        <v>2</v>
      </c>
      <c r="B45" s="119">
        <v>3</v>
      </c>
      <c r="C45" s="119" t="s">
        <v>715</v>
      </c>
      <c r="D45" s="257" t="s">
        <v>16</v>
      </c>
      <c r="E45" s="469"/>
      <c r="F45" s="401"/>
      <c r="G45" s="469"/>
      <c r="H45" s="401"/>
      <c r="I45" s="253"/>
      <c r="J45" s="254"/>
      <c r="K45" s="253"/>
      <c r="L45" s="254"/>
      <c r="M45" s="253"/>
      <c r="N45" s="254"/>
      <c r="O45" s="253"/>
      <c r="P45" s="254"/>
      <c r="Q45" s="253"/>
      <c r="R45" s="254"/>
      <c r="S45" s="253"/>
      <c r="T45" s="254"/>
      <c r="U45" s="253"/>
      <c r="V45" s="254"/>
      <c r="W45" s="253"/>
      <c r="X45" s="254"/>
      <c r="Y45" s="253"/>
      <c r="Z45" s="254"/>
      <c r="AA45" s="253"/>
      <c r="AB45" s="254"/>
      <c r="AC45" s="255"/>
      <c r="AD45" s="256"/>
      <c r="AE45" s="92"/>
      <c r="AF45" s="92"/>
      <c r="AG45" s="92"/>
      <c r="AH45" s="96"/>
      <c r="AI45" s="94"/>
      <c r="AJ45" s="94"/>
      <c r="AK45" s="94"/>
      <c r="AL45" s="84"/>
    </row>
    <row r="46" spans="1:38" ht="15.75">
      <c r="A46" s="95">
        <v>3</v>
      </c>
      <c r="B46" s="119">
        <v>5</v>
      </c>
      <c r="C46" s="122" t="s">
        <v>716</v>
      </c>
      <c r="D46" s="122" t="s">
        <v>18</v>
      </c>
      <c r="E46" s="469"/>
      <c r="F46" s="401"/>
      <c r="G46" s="469"/>
      <c r="H46" s="401"/>
      <c r="I46" s="253"/>
      <c r="J46" s="254"/>
      <c r="K46" s="253"/>
      <c r="L46" s="254"/>
      <c r="M46" s="253"/>
      <c r="N46" s="254"/>
      <c r="O46" s="253"/>
      <c r="P46" s="254"/>
      <c r="Q46" s="253"/>
      <c r="R46" s="254"/>
      <c r="S46" s="253"/>
      <c r="T46" s="254"/>
      <c r="U46" s="253"/>
      <c r="V46" s="254"/>
      <c r="W46" s="253"/>
      <c r="X46" s="254"/>
      <c r="Y46" s="253"/>
      <c r="Z46" s="254"/>
      <c r="AA46" s="253"/>
      <c r="AB46" s="254"/>
      <c r="AC46" s="255"/>
      <c r="AD46" s="256"/>
      <c r="AE46" s="92"/>
      <c r="AF46" s="92"/>
      <c r="AG46" s="92"/>
      <c r="AH46" s="96"/>
      <c r="AI46" s="94"/>
      <c r="AJ46" s="94"/>
      <c r="AK46" s="94"/>
      <c r="AL46" s="84"/>
    </row>
    <row r="47" spans="1:38" ht="15.75">
      <c r="A47" s="95"/>
      <c r="B47" s="167"/>
      <c r="C47" s="167"/>
      <c r="D47" s="167"/>
      <c r="E47" s="421"/>
      <c r="F47" s="422"/>
      <c r="G47" s="421"/>
      <c r="H47" s="422"/>
      <c r="I47" s="421"/>
      <c r="J47" s="422"/>
      <c r="K47" s="421"/>
      <c r="L47" s="422"/>
      <c r="M47" s="421"/>
      <c r="N47" s="422"/>
      <c r="O47" s="421"/>
      <c r="P47" s="422"/>
      <c r="Q47" s="421"/>
      <c r="R47" s="422"/>
      <c r="S47" s="421"/>
      <c r="T47" s="422"/>
      <c r="U47" s="421"/>
      <c r="V47" s="422"/>
      <c r="W47" s="421"/>
      <c r="X47" s="422"/>
      <c r="Y47" s="421"/>
      <c r="Z47" s="422"/>
      <c r="AA47" s="421"/>
      <c r="AB47" s="422"/>
      <c r="AC47" s="423"/>
      <c r="AD47" s="424"/>
      <c r="AE47" s="92"/>
      <c r="AF47" s="92"/>
      <c r="AG47" s="92"/>
      <c r="AH47" s="96"/>
      <c r="AI47" s="94"/>
      <c r="AJ47" s="94"/>
      <c r="AK47" s="94"/>
      <c r="AL47" s="84"/>
    </row>
    <row r="48" spans="1:38" ht="15.75">
      <c r="A48" s="95"/>
      <c r="B48" s="119"/>
      <c r="C48" s="120" t="s">
        <v>408</v>
      </c>
      <c r="D48" s="470" t="s">
        <v>366</v>
      </c>
      <c r="E48" s="471"/>
      <c r="F48" s="471"/>
      <c r="G48" s="471"/>
      <c r="H48" s="472"/>
      <c r="I48" s="421"/>
      <c r="J48" s="422"/>
      <c r="K48" s="421"/>
      <c r="L48" s="422"/>
      <c r="M48" s="421"/>
      <c r="N48" s="422"/>
      <c r="O48" s="421"/>
      <c r="P48" s="422"/>
      <c r="Q48" s="421"/>
      <c r="R48" s="422"/>
      <c r="S48" s="421"/>
      <c r="T48" s="422"/>
      <c r="U48" s="421"/>
      <c r="V48" s="422"/>
      <c r="W48" s="421"/>
      <c r="X48" s="422"/>
      <c r="Y48" s="421"/>
      <c r="Z48" s="422"/>
      <c r="AA48" s="421"/>
      <c r="AB48" s="422"/>
      <c r="AC48" s="423"/>
      <c r="AD48" s="424"/>
      <c r="AE48" s="92"/>
      <c r="AF48" s="92"/>
      <c r="AG48" s="92"/>
      <c r="AH48" s="96"/>
      <c r="AI48" s="94"/>
      <c r="AJ48" s="94"/>
      <c r="AK48" s="94"/>
      <c r="AL48" s="84"/>
    </row>
    <row r="49" spans="1:38" ht="15.75">
      <c r="A49" s="95">
        <v>4</v>
      </c>
      <c r="B49" s="119">
        <v>3</v>
      </c>
      <c r="C49" s="122" t="s">
        <v>717</v>
      </c>
      <c r="D49" s="122" t="s">
        <v>16</v>
      </c>
      <c r="E49" s="421"/>
      <c r="F49" s="422"/>
      <c r="G49" s="421"/>
      <c r="H49" s="422"/>
      <c r="I49" s="421"/>
      <c r="J49" s="422"/>
      <c r="K49" s="421"/>
      <c r="L49" s="422"/>
      <c r="M49" s="421"/>
      <c r="N49" s="422"/>
      <c r="O49" s="421"/>
      <c r="P49" s="422"/>
      <c r="Q49" s="421"/>
      <c r="R49" s="422"/>
      <c r="S49" s="421"/>
      <c r="T49" s="422"/>
      <c r="U49" s="421"/>
      <c r="V49" s="422"/>
      <c r="W49" s="421"/>
      <c r="X49" s="422"/>
      <c r="Y49" s="421"/>
      <c r="Z49" s="422"/>
      <c r="AA49" s="421"/>
      <c r="AB49" s="422"/>
      <c r="AC49" s="423"/>
      <c r="AD49" s="424"/>
      <c r="AE49" s="92"/>
      <c r="AF49" s="92"/>
      <c r="AG49" s="92"/>
      <c r="AH49" s="96"/>
      <c r="AI49" s="94"/>
      <c r="AJ49" s="94"/>
      <c r="AK49" s="94"/>
      <c r="AL49" s="84"/>
    </row>
    <row r="50" spans="1:38" ht="15.75">
      <c r="A50" s="95">
        <v>5</v>
      </c>
      <c r="B50" s="119">
        <v>5</v>
      </c>
      <c r="C50" s="122" t="s">
        <v>718</v>
      </c>
      <c r="D50" s="229" t="s">
        <v>18</v>
      </c>
      <c r="E50" s="405"/>
      <c r="F50" s="406"/>
      <c r="G50" s="405"/>
      <c r="H50" s="406"/>
      <c r="I50" s="421"/>
      <c r="J50" s="422"/>
      <c r="K50" s="421"/>
      <c r="L50" s="422"/>
      <c r="M50" s="421"/>
      <c r="N50" s="422"/>
      <c r="O50" s="421"/>
      <c r="P50" s="422"/>
      <c r="Q50" s="421"/>
      <c r="R50" s="422"/>
      <c r="S50" s="421"/>
      <c r="T50" s="422"/>
      <c r="U50" s="421"/>
      <c r="V50" s="422"/>
      <c r="W50" s="421"/>
      <c r="X50" s="422"/>
      <c r="Y50" s="421"/>
      <c r="Z50" s="422"/>
      <c r="AA50" s="421"/>
      <c r="AB50" s="422"/>
      <c r="AC50" s="423"/>
      <c r="AD50" s="424"/>
      <c r="AE50" s="92"/>
      <c r="AF50" s="92"/>
      <c r="AG50" s="92"/>
      <c r="AH50" s="96"/>
      <c r="AI50" s="94"/>
      <c r="AJ50" s="94"/>
      <c r="AK50" s="94"/>
      <c r="AL50" s="84"/>
    </row>
    <row r="51" spans="1:38" ht="15.75">
      <c r="A51" s="95">
        <v>6</v>
      </c>
      <c r="B51" s="119">
        <v>7</v>
      </c>
      <c r="C51" s="122" t="s">
        <v>719</v>
      </c>
      <c r="D51" s="228" t="s">
        <v>22</v>
      </c>
      <c r="E51" s="405"/>
      <c r="F51" s="406"/>
      <c r="G51" s="405"/>
      <c r="H51" s="406"/>
      <c r="I51" s="421"/>
      <c r="J51" s="422"/>
      <c r="K51" s="421"/>
      <c r="L51" s="422"/>
      <c r="M51" s="421"/>
      <c r="N51" s="422"/>
      <c r="O51" s="421"/>
      <c r="P51" s="422"/>
      <c r="Q51" s="421"/>
      <c r="R51" s="422"/>
      <c r="S51" s="421"/>
      <c r="T51" s="422"/>
      <c r="U51" s="421"/>
      <c r="V51" s="422"/>
      <c r="W51" s="421"/>
      <c r="X51" s="422"/>
      <c r="Y51" s="421"/>
      <c r="Z51" s="422"/>
      <c r="AA51" s="421"/>
      <c r="AB51" s="422"/>
      <c r="AC51" s="423"/>
      <c r="AD51" s="424"/>
      <c r="AE51" s="92"/>
      <c r="AF51" s="92"/>
      <c r="AG51" s="92"/>
      <c r="AH51" s="96"/>
      <c r="AI51" s="94"/>
      <c r="AJ51" s="94"/>
      <c r="AK51" s="94"/>
      <c r="AL51" s="84"/>
    </row>
    <row r="52" spans="1:38" ht="15.75">
      <c r="A52" s="95"/>
      <c r="B52" s="119"/>
      <c r="C52" s="122"/>
      <c r="D52" s="228"/>
      <c r="E52" s="405"/>
      <c r="F52" s="406"/>
      <c r="G52" s="405"/>
      <c r="H52" s="406"/>
      <c r="I52" s="421"/>
      <c r="J52" s="422"/>
      <c r="K52" s="421"/>
      <c r="L52" s="422"/>
      <c r="M52" s="421"/>
      <c r="N52" s="422"/>
      <c r="O52" s="421"/>
      <c r="P52" s="422"/>
      <c r="Q52" s="421"/>
      <c r="R52" s="422"/>
      <c r="S52" s="421"/>
      <c r="T52" s="422"/>
      <c r="U52" s="421"/>
      <c r="V52" s="422"/>
      <c r="W52" s="421"/>
      <c r="X52" s="422"/>
      <c r="Y52" s="421"/>
      <c r="Z52" s="422"/>
      <c r="AA52" s="421"/>
      <c r="AB52" s="422"/>
      <c r="AC52" s="476"/>
      <c r="AD52" s="477"/>
      <c r="AE52" s="92"/>
      <c r="AF52" s="92"/>
      <c r="AG52" s="92"/>
      <c r="AH52" s="96"/>
      <c r="AI52" s="94"/>
      <c r="AJ52" s="94"/>
      <c r="AK52" s="94"/>
      <c r="AL52" s="84"/>
    </row>
    <row r="53" spans="1:38" ht="15.75">
      <c r="A53" s="95">
        <v>7</v>
      </c>
      <c r="B53" s="119">
        <v>8</v>
      </c>
      <c r="C53" s="122" t="s">
        <v>720</v>
      </c>
      <c r="D53" s="228" t="s">
        <v>22</v>
      </c>
      <c r="E53" s="289"/>
      <c r="F53" s="290"/>
      <c r="G53" s="289"/>
      <c r="H53" s="290"/>
      <c r="I53" s="198"/>
      <c r="J53" s="199"/>
      <c r="K53" s="198"/>
      <c r="L53" s="199"/>
      <c r="M53" s="198"/>
      <c r="N53" s="199"/>
      <c r="O53" s="198"/>
      <c r="P53" s="199"/>
      <c r="Q53" s="198"/>
      <c r="R53" s="199"/>
      <c r="S53" s="198"/>
      <c r="T53" s="199"/>
      <c r="U53" s="198"/>
      <c r="V53" s="199"/>
      <c r="W53" s="198"/>
      <c r="X53" s="199"/>
      <c r="Y53" s="198"/>
      <c r="Z53" s="199"/>
      <c r="AA53" s="198"/>
      <c r="AB53" s="199"/>
      <c r="AC53" s="200"/>
      <c r="AD53" s="201"/>
      <c r="AE53" s="92"/>
      <c r="AF53" s="92"/>
      <c r="AG53" s="92"/>
      <c r="AH53" s="96"/>
      <c r="AI53" s="94"/>
      <c r="AJ53" s="94"/>
      <c r="AK53" s="94"/>
      <c r="AL53" s="84"/>
    </row>
    <row r="54" spans="1:38" ht="15.75">
      <c r="A54" s="95"/>
      <c r="B54" s="119"/>
      <c r="C54" s="120" t="s">
        <v>409</v>
      </c>
      <c r="D54" s="370" t="s">
        <v>428</v>
      </c>
      <c r="E54" s="371"/>
      <c r="F54" s="371"/>
      <c r="G54" s="371"/>
      <c r="H54" s="372"/>
      <c r="I54" s="421"/>
      <c r="J54" s="422"/>
      <c r="K54" s="421"/>
      <c r="L54" s="422"/>
      <c r="M54" s="421"/>
      <c r="N54" s="422"/>
      <c r="O54" s="421"/>
      <c r="P54" s="422"/>
      <c r="Q54" s="421"/>
      <c r="R54" s="422"/>
      <c r="S54" s="421"/>
      <c r="T54" s="422"/>
      <c r="U54" s="421"/>
      <c r="V54" s="422"/>
      <c r="W54" s="421"/>
      <c r="X54" s="422"/>
      <c r="Y54" s="421"/>
      <c r="Z54" s="422"/>
      <c r="AA54" s="421"/>
      <c r="AB54" s="422"/>
      <c r="AC54" s="423"/>
      <c r="AD54" s="424"/>
      <c r="AE54" s="92"/>
      <c r="AF54" s="92"/>
      <c r="AG54" s="92"/>
      <c r="AH54" s="96"/>
      <c r="AI54" s="94"/>
      <c r="AJ54" s="94"/>
      <c r="AK54" s="94"/>
      <c r="AL54" s="84"/>
    </row>
    <row r="55" spans="1:38" ht="15.75">
      <c r="A55" s="95"/>
      <c r="B55" s="119"/>
      <c r="C55" s="119"/>
      <c r="D55" s="119"/>
      <c r="E55" s="473"/>
      <c r="F55" s="473"/>
      <c r="G55" s="473"/>
      <c r="H55" s="473"/>
      <c r="I55" s="421"/>
      <c r="J55" s="422"/>
      <c r="K55" s="421"/>
      <c r="L55" s="422"/>
      <c r="M55" s="421"/>
      <c r="N55" s="422"/>
      <c r="O55" s="421"/>
      <c r="P55" s="422"/>
      <c r="Q55" s="421"/>
      <c r="R55" s="422"/>
      <c r="S55" s="421"/>
      <c r="T55" s="422"/>
      <c r="U55" s="421"/>
      <c r="V55" s="422"/>
      <c r="W55" s="421"/>
      <c r="X55" s="422"/>
      <c r="Y55" s="421"/>
      <c r="Z55" s="422"/>
      <c r="AA55" s="421"/>
      <c r="AB55" s="422"/>
      <c r="AC55" s="423"/>
      <c r="AD55" s="424"/>
      <c r="AE55" s="92"/>
      <c r="AF55" s="92"/>
      <c r="AG55" s="92"/>
      <c r="AH55" s="96"/>
      <c r="AI55" s="94"/>
      <c r="AJ55" s="94"/>
      <c r="AK55" s="94"/>
      <c r="AL55" s="84"/>
    </row>
    <row r="56" spans="1:38" ht="15.75">
      <c r="A56" s="95"/>
      <c r="B56" s="119"/>
      <c r="C56" s="120" t="s">
        <v>410</v>
      </c>
      <c r="D56" s="474" t="s">
        <v>429</v>
      </c>
      <c r="E56" s="474"/>
      <c r="F56" s="474"/>
      <c r="G56" s="474"/>
      <c r="H56" s="474"/>
      <c r="I56" s="421"/>
      <c r="J56" s="422"/>
      <c r="K56" s="421"/>
      <c r="L56" s="422"/>
      <c r="M56" s="421"/>
      <c r="N56" s="422"/>
      <c r="O56" s="421"/>
      <c r="P56" s="422"/>
      <c r="Q56" s="421"/>
      <c r="R56" s="422"/>
      <c r="S56" s="421"/>
      <c r="T56" s="422"/>
      <c r="U56" s="421"/>
      <c r="V56" s="422"/>
      <c r="W56" s="421"/>
      <c r="X56" s="422"/>
      <c r="Y56" s="421"/>
      <c r="Z56" s="422"/>
      <c r="AA56" s="421"/>
      <c r="AB56" s="422"/>
      <c r="AC56" s="423"/>
      <c r="AD56" s="424"/>
      <c r="AE56" s="92"/>
      <c r="AF56" s="92"/>
      <c r="AG56" s="92"/>
      <c r="AH56" s="96"/>
      <c r="AI56" s="94"/>
      <c r="AJ56" s="94"/>
      <c r="AK56" s="94"/>
      <c r="AL56" s="84"/>
    </row>
    <row r="57" spans="1:38" ht="15.75">
      <c r="A57" s="95">
        <v>8</v>
      </c>
      <c r="B57" s="119">
        <v>7</v>
      </c>
      <c r="C57" s="119" t="s">
        <v>723</v>
      </c>
      <c r="D57" s="194" t="s">
        <v>22</v>
      </c>
      <c r="E57" s="475"/>
      <c r="F57" s="475"/>
      <c r="G57" s="475"/>
      <c r="H57" s="475"/>
      <c r="I57" s="421"/>
      <c r="J57" s="422"/>
      <c r="K57" s="421"/>
      <c r="L57" s="422"/>
      <c r="M57" s="421"/>
      <c r="N57" s="422"/>
      <c r="O57" s="421"/>
      <c r="P57" s="422"/>
      <c r="Q57" s="421"/>
      <c r="R57" s="422"/>
      <c r="S57" s="421"/>
      <c r="T57" s="422"/>
      <c r="U57" s="421"/>
      <c r="V57" s="422"/>
      <c r="W57" s="421"/>
      <c r="X57" s="422"/>
      <c r="Y57" s="421"/>
      <c r="Z57" s="422"/>
      <c r="AA57" s="421"/>
      <c r="AB57" s="422"/>
      <c r="AC57" s="423"/>
      <c r="AD57" s="424"/>
      <c r="AE57" s="92"/>
      <c r="AF57" s="92"/>
      <c r="AG57" s="92"/>
      <c r="AH57" s="96"/>
      <c r="AI57" s="94"/>
      <c r="AJ57" s="94"/>
      <c r="AK57" s="94"/>
      <c r="AL57" s="84"/>
    </row>
    <row r="58" spans="1:38" ht="17.25" customHeight="1">
      <c r="A58" s="95">
        <v>9</v>
      </c>
      <c r="B58" s="122">
        <v>8</v>
      </c>
      <c r="C58" s="122" t="s">
        <v>724</v>
      </c>
      <c r="D58" s="122" t="s">
        <v>22</v>
      </c>
      <c r="E58" s="421"/>
      <c r="F58" s="422"/>
      <c r="G58" s="421"/>
      <c r="H58" s="422"/>
      <c r="I58" s="421"/>
      <c r="J58" s="422"/>
      <c r="K58" s="421"/>
      <c r="L58" s="422"/>
      <c r="M58" s="421"/>
      <c r="N58" s="422"/>
      <c r="O58" s="421"/>
      <c r="P58" s="422"/>
      <c r="Q58" s="421"/>
      <c r="R58" s="422"/>
      <c r="S58" s="421"/>
      <c r="T58" s="422"/>
      <c r="U58" s="421"/>
      <c r="V58" s="422"/>
      <c r="W58" s="421"/>
      <c r="X58" s="422"/>
      <c r="Y58" s="421"/>
      <c r="Z58" s="422"/>
      <c r="AA58" s="421"/>
      <c r="AB58" s="422"/>
      <c r="AC58" s="423"/>
      <c r="AD58" s="424"/>
      <c r="AE58" s="92"/>
      <c r="AF58" s="92"/>
      <c r="AG58" s="92"/>
      <c r="AH58" s="93"/>
      <c r="AI58" s="94"/>
      <c r="AJ58" s="94"/>
      <c r="AK58" s="94"/>
      <c r="AL58" s="84"/>
    </row>
    <row r="59" spans="1:38" ht="12.7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9"/>
      <c r="AD59" s="99"/>
      <c r="AE59" s="98"/>
      <c r="AF59" s="98"/>
      <c r="AG59" s="98"/>
      <c r="AH59" s="98"/>
      <c r="AI59" s="98"/>
      <c r="AJ59" s="98"/>
      <c r="AK59" s="98"/>
      <c r="AL59" s="84"/>
    </row>
    <row r="60" spans="1:38" ht="12.75">
      <c r="A60" s="411" t="s">
        <v>172</v>
      </c>
      <c r="B60" s="417"/>
      <c r="C60" s="417"/>
      <c r="D60" s="417"/>
      <c r="E60" s="417"/>
      <c r="F60" s="418"/>
      <c r="G60" s="411" t="s">
        <v>172</v>
      </c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8"/>
      <c r="Y60" s="416" t="s">
        <v>173</v>
      </c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418"/>
      <c r="AL60" s="84"/>
    </row>
    <row r="61" spans="1:38" ht="12.75">
      <c r="A61" s="95" t="s">
        <v>0</v>
      </c>
      <c r="B61" s="95" t="s">
        <v>174</v>
      </c>
      <c r="C61" s="95" t="s">
        <v>156</v>
      </c>
      <c r="D61" s="95" t="s">
        <v>157</v>
      </c>
      <c r="E61" s="416" t="s">
        <v>183</v>
      </c>
      <c r="F61" s="418"/>
      <c r="G61" s="416" t="s">
        <v>0</v>
      </c>
      <c r="H61" s="419"/>
      <c r="I61" s="416" t="s">
        <v>174</v>
      </c>
      <c r="J61" s="418"/>
      <c r="K61" s="416" t="s">
        <v>156</v>
      </c>
      <c r="L61" s="417"/>
      <c r="M61" s="417"/>
      <c r="N61" s="417"/>
      <c r="O61" s="417"/>
      <c r="P61" s="417"/>
      <c r="Q61" s="420" t="s">
        <v>157</v>
      </c>
      <c r="R61" s="417"/>
      <c r="S61" s="417"/>
      <c r="T61" s="417"/>
      <c r="U61" s="417"/>
      <c r="V61" s="418"/>
      <c r="W61" s="416" t="s">
        <v>183</v>
      </c>
      <c r="X61" s="418"/>
      <c r="Y61" s="100"/>
      <c r="Z61" s="101"/>
      <c r="AA61" s="101"/>
      <c r="AB61" s="101"/>
      <c r="AC61" s="102"/>
      <c r="AD61" s="102"/>
      <c r="AE61" s="81"/>
      <c r="AF61" s="81"/>
      <c r="AG61" s="103"/>
      <c r="AH61" s="103"/>
      <c r="AI61" s="103"/>
      <c r="AJ61" s="103"/>
      <c r="AK61" s="104"/>
      <c r="AL61" s="84"/>
    </row>
    <row r="62" spans="1:38" ht="16.5" customHeight="1">
      <c r="A62" s="106">
        <v>1</v>
      </c>
      <c r="B62" s="106"/>
      <c r="C62" s="107"/>
      <c r="D62" s="107"/>
      <c r="E62" s="407"/>
      <c r="F62" s="408"/>
      <c r="G62" s="409">
        <v>9</v>
      </c>
      <c r="H62" s="410">
        <f aca="true" t="shared" si="1" ref="H62:H69">IF(ISERROR(VLOOKUP(G62,$C$6:$AR$21,31,FALSE))=TRUE,"",CONCATENATE(VLOOKUP(G62,$C$6:$AR$21,38,FALSE),VLOOKUP(G62,$C$6:$AR$21,42,FALSE)))</f>
      </c>
      <c r="I62" s="411"/>
      <c r="J62" s="412"/>
      <c r="K62" s="413"/>
      <c r="L62" s="414"/>
      <c r="M62" s="414"/>
      <c r="N62" s="414"/>
      <c r="O62" s="414"/>
      <c r="P62" s="415"/>
      <c r="Q62" s="413"/>
      <c r="R62" s="414"/>
      <c r="S62" s="414"/>
      <c r="T62" s="414"/>
      <c r="U62" s="414"/>
      <c r="V62" s="415"/>
      <c r="W62" s="407"/>
      <c r="X62" s="408"/>
      <c r="Y62" s="108"/>
      <c r="Z62" s="109"/>
      <c r="AA62" s="109"/>
      <c r="AB62" s="109"/>
      <c r="AC62" s="110"/>
      <c r="AD62" s="110"/>
      <c r="AE62" s="109"/>
      <c r="AF62" s="109"/>
      <c r="AG62" s="109"/>
      <c r="AH62" s="111"/>
      <c r="AI62" s="111"/>
      <c r="AJ62" s="111"/>
      <c r="AK62" s="112"/>
      <c r="AL62" s="84"/>
    </row>
    <row r="63" spans="1:38" ht="16.5" customHeight="1">
      <c r="A63" s="106">
        <v>2</v>
      </c>
      <c r="B63" s="106"/>
      <c r="C63" s="107"/>
      <c r="D63" s="107"/>
      <c r="E63" s="407"/>
      <c r="F63" s="408"/>
      <c r="G63" s="409">
        <v>10</v>
      </c>
      <c r="H63" s="410">
        <f t="shared" si="1"/>
      </c>
      <c r="I63" s="411"/>
      <c r="J63" s="412"/>
      <c r="K63" s="413"/>
      <c r="L63" s="414"/>
      <c r="M63" s="414"/>
      <c r="N63" s="414"/>
      <c r="O63" s="414"/>
      <c r="P63" s="415"/>
      <c r="Q63" s="413"/>
      <c r="R63" s="414"/>
      <c r="S63" s="414"/>
      <c r="T63" s="414"/>
      <c r="U63" s="414"/>
      <c r="V63" s="415"/>
      <c r="W63" s="407"/>
      <c r="X63" s="408"/>
      <c r="Y63" s="113"/>
      <c r="Z63" s="105"/>
      <c r="AA63" s="105"/>
      <c r="AB63" s="105"/>
      <c r="AC63" s="114"/>
      <c r="AD63" s="114"/>
      <c r="AE63" s="105"/>
      <c r="AF63" s="105"/>
      <c r="AG63" s="105"/>
      <c r="AH63" s="84"/>
      <c r="AI63" s="84"/>
      <c r="AJ63" s="84"/>
      <c r="AK63" s="115"/>
      <c r="AL63" s="84"/>
    </row>
    <row r="64" spans="1:38" ht="16.5" customHeight="1">
      <c r="A64" s="106">
        <v>3</v>
      </c>
      <c r="B64" s="106"/>
      <c r="C64" s="107"/>
      <c r="D64" s="107"/>
      <c r="E64" s="407"/>
      <c r="F64" s="408"/>
      <c r="G64" s="409">
        <v>11</v>
      </c>
      <c r="H64" s="410">
        <f t="shared" si="1"/>
      </c>
      <c r="I64" s="411"/>
      <c r="J64" s="412"/>
      <c r="K64" s="413"/>
      <c r="L64" s="414"/>
      <c r="M64" s="414"/>
      <c r="N64" s="414"/>
      <c r="O64" s="414"/>
      <c r="P64" s="415"/>
      <c r="Q64" s="413"/>
      <c r="R64" s="414"/>
      <c r="S64" s="414"/>
      <c r="T64" s="414"/>
      <c r="U64" s="414"/>
      <c r="V64" s="415"/>
      <c r="W64" s="407"/>
      <c r="X64" s="408"/>
      <c r="Y64" s="113"/>
      <c r="Z64" s="105"/>
      <c r="AA64" s="105"/>
      <c r="AB64" s="105"/>
      <c r="AC64" s="114"/>
      <c r="AD64" s="114"/>
      <c r="AE64" s="105"/>
      <c r="AF64" s="105"/>
      <c r="AG64" s="105"/>
      <c r="AH64" s="84"/>
      <c r="AI64" s="84"/>
      <c r="AJ64" s="84"/>
      <c r="AK64" s="115"/>
      <c r="AL64" s="84"/>
    </row>
    <row r="65" spans="1:38" ht="16.5" customHeight="1">
      <c r="A65" s="106">
        <v>4</v>
      </c>
      <c r="B65" s="106"/>
      <c r="C65" s="107"/>
      <c r="D65" s="107"/>
      <c r="E65" s="407"/>
      <c r="F65" s="408"/>
      <c r="G65" s="409">
        <v>12</v>
      </c>
      <c r="H65" s="410">
        <f t="shared" si="1"/>
      </c>
      <c r="I65" s="411"/>
      <c r="J65" s="412"/>
      <c r="K65" s="413"/>
      <c r="L65" s="414"/>
      <c r="M65" s="414"/>
      <c r="N65" s="414"/>
      <c r="O65" s="414"/>
      <c r="P65" s="415"/>
      <c r="Q65" s="413"/>
      <c r="R65" s="414"/>
      <c r="S65" s="414"/>
      <c r="T65" s="414"/>
      <c r="U65" s="414"/>
      <c r="V65" s="415"/>
      <c r="W65" s="407"/>
      <c r="X65" s="408"/>
      <c r="Y65" s="116"/>
      <c r="Z65" s="103"/>
      <c r="AA65" s="103"/>
      <c r="AB65" s="103"/>
      <c r="AC65" s="117"/>
      <c r="AD65" s="117"/>
      <c r="AE65" s="103"/>
      <c r="AF65" s="103"/>
      <c r="AG65" s="103"/>
      <c r="AH65" s="81"/>
      <c r="AI65" s="81"/>
      <c r="AJ65" s="81"/>
      <c r="AK65" s="83"/>
      <c r="AL65" s="84"/>
    </row>
    <row r="66" spans="1:38" ht="16.5" customHeight="1">
      <c r="A66" s="106">
        <v>5</v>
      </c>
      <c r="B66" s="106"/>
      <c r="C66" s="107"/>
      <c r="D66" s="107"/>
      <c r="E66" s="407"/>
      <c r="F66" s="408"/>
      <c r="G66" s="409">
        <v>13</v>
      </c>
      <c r="H66" s="410">
        <f t="shared" si="1"/>
      </c>
      <c r="I66" s="411"/>
      <c r="J66" s="412"/>
      <c r="K66" s="413"/>
      <c r="L66" s="414"/>
      <c r="M66" s="414"/>
      <c r="N66" s="414"/>
      <c r="O66" s="414"/>
      <c r="P66" s="415"/>
      <c r="Q66" s="413"/>
      <c r="R66" s="414"/>
      <c r="S66" s="414"/>
      <c r="T66" s="414"/>
      <c r="U66" s="414"/>
      <c r="V66" s="415"/>
      <c r="W66" s="407"/>
      <c r="X66" s="408"/>
      <c r="Y66" s="108"/>
      <c r="Z66" s="109"/>
      <c r="AA66" s="109"/>
      <c r="AB66" s="109"/>
      <c r="AC66" s="110"/>
      <c r="AD66" s="110"/>
      <c r="AE66" s="109"/>
      <c r="AF66" s="109"/>
      <c r="AG66" s="109"/>
      <c r="AH66" s="111"/>
      <c r="AI66" s="111"/>
      <c r="AJ66" s="111"/>
      <c r="AK66" s="112"/>
      <c r="AL66" s="84"/>
    </row>
    <row r="67" spans="1:38" ht="16.5" customHeight="1">
      <c r="A67" s="106">
        <v>6</v>
      </c>
      <c r="B67" s="106"/>
      <c r="C67" s="107"/>
      <c r="D67" s="107"/>
      <c r="E67" s="407"/>
      <c r="F67" s="408"/>
      <c r="G67" s="409">
        <v>14</v>
      </c>
      <c r="H67" s="410">
        <f t="shared" si="1"/>
      </c>
      <c r="I67" s="411"/>
      <c r="J67" s="412"/>
      <c r="K67" s="413"/>
      <c r="L67" s="414"/>
      <c r="M67" s="414"/>
      <c r="N67" s="414"/>
      <c r="O67" s="414"/>
      <c r="P67" s="415"/>
      <c r="Q67" s="413"/>
      <c r="R67" s="414"/>
      <c r="S67" s="414"/>
      <c r="T67" s="414"/>
      <c r="U67" s="414"/>
      <c r="V67" s="415"/>
      <c r="W67" s="407"/>
      <c r="X67" s="408"/>
      <c r="Y67" s="416" t="s">
        <v>176</v>
      </c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8"/>
      <c r="AL67" s="84"/>
    </row>
    <row r="68" spans="1:38" ht="16.5" customHeight="1">
      <c r="A68" s="106">
        <v>7</v>
      </c>
      <c r="B68" s="106"/>
      <c r="C68" s="107"/>
      <c r="D68" s="107"/>
      <c r="E68" s="407"/>
      <c r="F68" s="408"/>
      <c r="G68" s="409">
        <v>15</v>
      </c>
      <c r="H68" s="410">
        <f t="shared" si="1"/>
      </c>
      <c r="I68" s="411"/>
      <c r="J68" s="412"/>
      <c r="K68" s="413"/>
      <c r="L68" s="414"/>
      <c r="M68" s="414"/>
      <c r="N68" s="414"/>
      <c r="O68" s="414"/>
      <c r="P68" s="415"/>
      <c r="Q68" s="413"/>
      <c r="R68" s="414"/>
      <c r="S68" s="414"/>
      <c r="T68" s="414"/>
      <c r="U68" s="414"/>
      <c r="V68" s="415"/>
      <c r="W68" s="407"/>
      <c r="X68" s="408"/>
      <c r="Y68" s="116"/>
      <c r="Z68" s="103"/>
      <c r="AA68" s="103"/>
      <c r="AB68" s="103"/>
      <c r="AC68" s="117"/>
      <c r="AD68" s="82"/>
      <c r="AE68" s="81"/>
      <c r="AF68" s="81"/>
      <c r="AG68" s="81"/>
      <c r="AH68" s="81"/>
      <c r="AI68" s="81"/>
      <c r="AJ68" s="81"/>
      <c r="AK68" s="83"/>
      <c r="AL68" s="84"/>
    </row>
    <row r="69" spans="1:38" ht="16.5" customHeight="1">
      <c r="A69" s="106">
        <v>8</v>
      </c>
      <c r="B69" s="106"/>
      <c r="C69" s="107"/>
      <c r="D69" s="107"/>
      <c r="E69" s="407"/>
      <c r="F69" s="408"/>
      <c r="G69" s="409">
        <v>16</v>
      </c>
      <c r="H69" s="410">
        <f t="shared" si="1"/>
      </c>
      <c r="I69" s="411"/>
      <c r="J69" s="412"/>
      <c r="K69" s="413"/>
      <c r="L69" s="414"/>
      <c r="M69" s="414"/>
      <c r="N69" s="414"/>
      <c r="O69" s="414"/>
      <c r="P69" s="415"/>
      <c r="Q69" s="413"/>
      <c r="R69" s="414"/>
      <c r="S69" s="414"/>
      <c r="T69" s="414"/>
      <c r="U69" s="414"/>
      <c r="V69" s="415"/>
      <c r="W69" s="407"/>
      <c r="X69" s="408"/>
      <c r="Y69" s="108"/>
      <c r="Z69" s="109"/>
      <c r="AA69" s="109"/>
      <c r="AB69" s="109"/>
      <c r="AC69" s="110"/>
      <c r="AD69" s="118"/>
      <c r="AE69" s="111"/>
      <c r="AF69" s="111"/>
      <c r="AG69" s="111"/>
      <c r="AH69" s="111"/>
      <c r="AI69" s="111"/>
      <c r="AJ69" s="111"/>
      <c r="AK69" s="112"/>
      <c r="AL69" s="84"/>
    </row>
    <row r="70" spans="1:38" ht="16.5" customHeight="1">
      <c r="A70" s="223"/>
      <c r="B70" s="219"/>
      <c r="C70" s="220"/>
      <c r="D70" s="220"/>
      <c r="E70" s="221"/>
      <c r="F70" s="221"/>
      <c r="G70" s="218"/>
      <c r="H70" s="218"/>
      <c r="I70" s="219"/>
      <c r="J70" s="219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  <c r="X70" s="221"/>
      <c r="Y70" s="105"/>
      <c r="Z70" s="105"/>
      <c r="AA70" s="105"/>
      <c r="AB70" s="105"/>
      <c r="AC70" s="114"/>
      <c r="AD70" s="222"/>
      <c r="AE70" s="84"/>
      <c r="AF70" s="84"/>
      <c r="AG70" s="84"/>
      <c r="AH70" s="84"/>
      <c r="AI70" s="84"/>
      <c r="AJ70" s="84"/>
      <c r="AK70" s="115"/>
      <c r="AL70" s="84"/>
    </row>
    <row r="71" spans="1:38" ht="16.5" customHeight="1">
      <c r="A71" s="224"/>
      <c r="B71" s="224"/>
      <c r="C71" s="225"/>
      <c r="D71" s="225"/>
      <c r="E71" s="226"/>
      <c r="F71" s="226"/>
      <c r="G71" s="227"/>
      <c r="H71" s="227"/>
      <c r="I71" s="224"/>
      <c r="J71" s="224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6"/>
      <c r="X71" s="226"/>
      <c r="Y71" s="105"/>
      <c r="Z71" s="105"/>
      <c r="AA71" s="105"/>
      <c r="AB71" s="105"/>
      <c r="AC71" s="114"/>
      <c r="AD71" s="222"/>
      <c r="AE71" s="84"/>
      <c r="AF71" s="84"/>
      <c r="AG71" s="84"/>
      <c r="AH71" s="84"/>
      <c r="AI71" s="84"/>
      <c r="AJ71" s="84"/>
      <c r="AK71" s="115"/>
      <c r="AL71" s="84"/>
    </row>
    <row r="72" spans="1:38" ht="20.25">
      <c r="A72" s="80" t="s">
        <v>178</v>
      </c>
      <c r="B72" s="252"/>
      <c r="C72" s="252"/>
      <c r="D72" s="252"/>
      <c r="E72" s="252"/>
      <c r="F72" s="252"/>
      <c r="G72" s="252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2"/>
      <c r="AD72" s="82"/>
      <c r="AE72" s="81"/>
      <c r="AF72" s="81"/>
      <c r="AG72" s="81"/>
      <c r="AH72" s="81"/>
      <c r="AI72" s="81"/>
      <c r="AJ72" s="81"/>
      <c r="AK72" s="83"/>
      <c r="AL72" s="84"/>
    </row>
    <row r="73" spans="1:38" ht="12.75">
      <c r="A73" s="428" t="s">
        <v>148</v>
      </c>
      <c r="B73" s="429"/>
      <c r="C73" s="341" t="s">
        <v>319</v>
      </c>
      <c r="D73" s="342"/>
      <c r="E73" s="428" t="s">
        <v>149</v>
      </c>
      <c r="F73" s="430"/>
      <c r="G73" s="429"/>
      <c r="H73" s="411" t="s">
        <v>360</v>
      </c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12"/>
      <c r="W73" s="428" t="s">
        <v>150</v>
      </c>
      <c r="X73" s="430"/>
      <c r="Y73" s="429"/>
      <c r="Z73" s="432" t="s">
        <v>368</v>
      </c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66"/>
      <c r="AL73" s="84"/>
    </row>
    <row r="74" spans="1:38" ht="12.75">
      <c r="A74" s="428" t="s">
        <v>179</v>
      </c>
      <c r="B74" s="429"/>
      <c r="C74" s="377" t="s">
        <v>186</v>
      </c>
      <c r="D74" s="378"/>
      <c r="E74" s="428" t="s">
        <v>151</v>
      </c>
      <c r="F74" s="430"/>
      <c r="G74" s="429"/>
      <c r="H74" s="436" t="s">
        <v>198</v>
      </c>
      <c r="I74" s="437"/>
      <c r="J74" s="438"/>
      <c r="K74" s="428" t="s">
        <v>152</v>
      </c>
      <c r="L74" s="430"/>
      <c r="M74" s="430"/>
      <c r="N74" s="430"/>
      <c r="O74" s="430"/>
      <c r="P74" s="429"/>
      <c r="Q74" s="439"/>
      <c r="R74" s="440"/>
      <c r="S74" s="441"/>
      <c r="T74" s="442" t="s">
        <v>153</v>
      </c>
      <c r="U74" s="443"/>
      <c r="V74" s="444"/>
      <c r="W74" s="445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7"/>
      <c r="AL74" s="84"/>
    </row>
    <row r="75" spans="1:38" ht="12.75">
      <c r="A75" s="85" t="s">
        <v>154</v>
      </c>
      <c r="B75" s="85" t="s">
        <v>155</v>
      </c>
      <c r="C75" s="85" t="s">
        <v>156</v>
      </c>
      <c r="D75" s="86" t="s">
        <v>157</v>
      </c>
      <c r="E75" s="448"/>
      <c r="F75" s="449"/>
      <c r="G75" s="448"/>
      <c r="H75" s="449"/>
      <c r="I75" s="448"/>
      <c r="J75" s="449"/>
      <c r="K75" s="448"/>
      <c r="L75" s="449"/>
      <c r="M75" s="448"/>
      <c r="N75" s="449"/>
      <c r="O75" s="448"/>
      <c r="P75" s="449"/>
      <c r="Q75" s="448"/>
      <c r="R75" s="449"/>
      <c r="S75" s="448"/>
      <c r="T75" s="449"/>
      <c r="U75" s="448"/>
      <c r="V75" s="449"/>
      <c r="W75" s="448"/>
      <c r="X75" s="449"/>
      <c r="Y75" s="448"/>
      <c r="Z75" s="449"/>
      <c r="AA75" s="448"/>
      <c r="AB75" s="449"/>
      <c r="AC75" s="450" t="s">
        <v>166</v>
      </c>
      <c r="AD75" s="451"/>
      <c r="AE75" s="452" t="s">
        <v>180</v>
      </c>
      <c r="AF75" s="452" t="s">
        <v>181</v>
      </c>
      <c r="AG75" s="452" t="s">
        <v>182</v>
      </c>
      <c r="AH75" s="454" t="s">
        <v>167</v>
      </c>
      <c r="AI75" s="87"/>
      <c r="AJ75" s="456" t="s">
        <v>168</v>
      </c>
      <c r="AK75" s="457"/>
      <c r="AL75" s="84"/>
    </row>
    <row r="76" spans="1:38" ht="12.75">
      <c r="A76" s="88"/>
      <c r="B76" s="88"/>
      <c r="C76" s="89"/>
      <c r="D76" s="90"/>
      <c r="E76" s="425" t="s">
        <v>169</v>
      </c>
      <c r="F76" s="420"/>
      <c r="G76" s="425" t="s">
        <v>169</v>
      </c>
      <c r="H76" s="420"/>
      <c r="I76" s="425" t="s">
        <v>169</v>
      </c>
      <c r="J76" s="420"/>
      <c r="K76" s="425" t="s">
        <v>169</v>
      </c>
      <c r="L76" s="420"/>
      <c r="M76" s="425" t="s">
        <v>169</v>
      </c>
      <c r="N76" s="420"/>
      <c r="O76" s="425" t="s">
        <v>169</v>
      </c>
      <c r="P76" s="420"/>
      <c r="Q76" s="425" t="s">
        <v>169</v>
      </c>
      <c r="R76" s="420"/>
      <c r="S76" s="425" t="s">
        <v>169</v>
      </c>
      <c r="T76" s="420"/>
      <c r="U76" s="425" t="s">
        <v>169</v>
      </c>
      <c r="V76" s="420"/>
      <c r="W76" s="425" t="s">
        <v>169</v>
      </c>
      <c r="X76" s="420"/>
      <c r="Y76" s="425" t="s">
        <v>169</v>
      </c>
      <c r="Z76" s="420"/>
      <c r="AA76" s="425" t="s">
        <v>169</v>
      </c>
      <c r="AB76" s="420"/>
      <c r="AC76" s="426" t="s">
        <v>169</v>
      </c>
      <c r="AD76" s="427"/>
      <c r="AE76" s="453"/>
      <c r="AF76" s="453"/>
      <c r="AG76" s="453"/>
      <c r="AH76" s="455"/>
      <c r="AI76" s="91"/>
      <c r="AJ76" s="458"/>
      <c r="AK76" s="459"/>
      <c r="AL76" s="84"/>
    </row>
    <row r="77" spans="1:38" ht="17.25" customHeight="1">
      <c r="A77" s="88"/>
      <c r="B77" s="63"/>
      <c r="C77" s="120" t="s">
        <v>411</v>
      </c>
      <c r="D77" s="370" t="s">
        <v>320</v>
      </c>
      <c r="E77" s="371"/>
      <c r="F77" s="371"/>
      <c r="G77" s="371"/>
      <c r="H77" s="372"/>
      <c r="I77" s="421"/>
      <c r="J77" s="422"/>
      <c r="K77" s="421"/>
      <c r="L77" s="422"/>
      <c r="M77" s="421"/>
      <c r="N77" s="422"/>
      <c r="O77" s="421"/>
      <c r="P77" s="422"/>
      <c r="Q77" s="421"/>
      <c r="R77" s="422"/>
      <c r="S77" s="421"/>
      <c r="T77" s="422"/>
      <c r="U77" s="421"/>
      <c r="V77" s="422"/>
      <c r="W77" s="421"/>
      <c r="X77" s="422"/>
      <c r="Y77" s="421"/>
      <c r="Z77" s="422"/>
      <c r="AA77" s="421"/>
      <c r="AB77" s="422"/>
      <c r="AC77" s="423"/>
      <c r="AD77" s="424"/>
      <c r="AE77" s="92"/>
      <c r="AF77" s="92"/>
      <c r="AG77" s="92"/>
      <c r="AH77" s="93"/>
      <c r="AI77" s="94"/>
      <c r="AJ77" s="94"/>
      <c r="AK77" s="94"/>
      <c r="AL77" s="84"/>
    </row>
    <row r="78" spans="1:38" ht="15.75">
      <c r="A78" s="95">
        <v>1</v>
      </c>
      <c r="B78" s="119">
        <v>1</v>
      </c>
      <c r="C78" s="122" t="s">
        <v>513</v>
      </c>
      <c r="D78" s="122" t="s">
        <v>20</v>
      </c>
      <c r="E78" s="421"/>
      <c r="F78" s="422"/>
      <c r="G78" s="421"/>
      <c r="H78" s="422"/>
      <c r="I78" s="421"/>
      <c r="J78" s="422"/>
      <c r="K78" s="421"/>
      <c r="L78" s="422"/>
      <c r="M78" s="421"/>
      <c r="N78" s="422"/>
      <c r="O78" s="421"/>
      <c r="P78" s="422"/>
      <c r="Q78" s="421"/>
      <c r="R78" s="422"/>
      <c r="S78" s="421"/>
      <c r="T78" s="422"/>
      <c r="U78" s="421"/>
      <c r="V78" s="422"/>
      <c r="W78" s="421"/>
      <c r="X78" s="422"/>
      <c r="Y78" s="421"/>
      <c r="Z78" s="422"/>
      <c r="AA78" s="421"/>
      <c r="AB78" s="422"/>
      <c r="AC78" s="423"/>
      <c r="AD78" s="424"/>
      <c r="AE78" s="92"/>
      <c r="AF78" s="92"/>
      <c r="AG78" s="92"/>
      <c r="AH78" s="96"/>
      <c r="AI78" s="94"/>
      <c r="AJ78" s="94"/>
      <c r="AK78" s="94"/>
      <c r="AL78" s="84"/>
    </row>
    <row r="79" spans="1:38" ht="15.75">
      <c r="A79" s="95">
        <v>2</v>
      </c>
      <c r="B79" s="119">
        <v>2</v>
      </c>
      <c r="C79" s="122" t="s">
        <v>515</v>
      </c>
      <c r="D79" s="122" t="s">
        <v>20</v>
      </c>
      <c r="E79" s="421"/>
      <c r="F79" s="422"/>
      <c r="G79" s="421"/>
      <c r="H79" s="422"/>
      <c r="I79" s="421"/>
      <c r="J79" s="422"/>
      <c r="K79" s="421"/>
      <c r="L79" s="422"/>
      <c r="M79" s="421"/>
      <c r="N79" s="422"/>
      <c r="O79" s="421"/>
      <c r="P79" s="422"/>
      <c r="Q79" s="421"/>
      <c r="R79" s="422"/>
      <c r="S79" s="421"/>
      <c r="T79" s="422"/>
      <c r="U79" s="421"/>
      <c r="V79" s="422"/>
      <c r="W79" s="421"/>
      <c r="X79" s="422"/>
      <c r="Y79" s="421"/>
      <c r="Z79" s="422"/>
      <c r="AA79" s="421"/>
      <c r="AB79" s="422"/>
      <c r="AC79" s="423"/>
      <c r="AD79" s="424"/>
      <c r="AE79" s="92"/>
      <c r="AF79" s="92"/>
      <c r="AG79" s="92"/>
      <c r="AH79" s="96"/>
      <c r="AI79" s="94"/>
      <c r="AJ79" s="94"/>
      <c r="AK79" s="94"/>
      <c r="AL79" s="84"/>
    </row>
    <row r="80" spans="1:38" ht="15.75">
      <c r="A80" s="95">
        <v>3</v>
      </c>
      <c r="B80" s="119">
        <v>3</v>
      </c>
      <c r="C80" s="122" t="s">
        <v>516</v>
      </c>
      <c r="D80" s="122" t="s">
        <v>16</v>
      </c>
      <c r="E80" s="421"/>
      <c r="F80" s="422"/>
      <c r="G80" s="421"/>
      <c r="H80" s="422"/>
      <c r="I80" s="421"/>
      <c r="J80" s="422"/>
      <c r="K80" s="421"/>
      <c r="L80" s="422"/>
      <c r="M80" s="421"/>
      <c r="N80" s="422"/>
      <c r="O80" s="421"/>
      <c r="P80" s="422"/>
      <c r="Q80" s="421"/>
      <c r="R80" s="422"/>
      <c r="S80" s="421"/>
      <c r="T80" s="422"/>
      <c r="U80" s="421"/>
      <c r="V80" s="422"/>
      <c r="W80" s="421"/>
      <c r="X80" s="422"/>
      <c r="Y80" s="421"/>
      <c r="Z80" s="422"/>
      <c r="AA80" s="421"/>
      <c r="AB80" s="422"/>
      <c r="AC80" s="423"/>
      <c r="AD80" s="424"/>
      <c r="AE80" s="92"/>
      <c r="AF80" s="92"/>
      <c r="AG80" s="92"/>
      <c r="AH80" s="96"/>
      <c r="AI80" s="94"/>
      <c r="AJ80" s="94"/>
      <c r="AK80" s="94"/>
      <c r="AL80" s="84"/>
    </row>
    <row r="81" spans="1:38" ht="15.75">
      <c r="A81" s="95">
        <v>4</v>
      </c>
      <c r="B81" s="119">
        <v>4</v>
      </c>
      <c r="C81" s="122" t="s">
        <v>517</v>
      </c>
      <c r="D81" s="122" t="s">
        <v>16</v>
      </c>
      <c r="E81" s="421"/>
      <c r="F81" s="422"/>
      <c r="G81" s="421"/>
      <c r="H81" s="422"/>
      <c r="I81" s="421"/>
      <c r="J81" s="422"/>
      <c r="K81" s="421"/>
      <c r="L81" s="422"/>
      <c r="M81" s="421"/>
      <c r="N81" s="422"/>
      <c r="O81" s="421"/>
      <c r="P81" s="422"/>
      <c r="Q81" s="421"/>
      <c r="R81" s="422"/>
      <c r="S81" s="421"/>
      <c r="T81" s="422"/>
      <c r="U81" s="421"/>
      <c r="V81" s="422"/>
      <c r="W81" s="421"/>
      <c r="X81" s="422"/>
      <c r="Y81" s="421"/>
      <c r="Z81" s="422"/>
      <c r="AA81" s="421"/>
      <c r="AB81" s="422"/>
      <c r="AC81" s="423"/>
      <c r="AD81" s="424"/>
      <c r="AE81" s="92"/>
      <c r="AF81" s="92"/>
      <c r="AG81" s="92"/>
      <c r="AH81" s="96"/>
      <c r="AI81" s="94"/>
      <c r="AJ81" s="94"/>
      <c r="AK81" s="94"/>
      <c r="AL81" s="84"/>
    </row>
    <row r="82" spans="1:38" ht="15.75">
      <c r="A82" s="95">
        <v>5</v>
      </c>
      <c r="B82" s="119">
        <v>5</v>
      </c>
      <c r="C82" s="122" t="s">
        <v>518</v>
      </c>
      <c r="D82" s="122" t="s">
        <v>18</v>
      </c>
      <c r="E82" s="421"/>
      <c r="F82" s="422"/>
      <c r="G82" s="421"/>
      <c r="H82" s="422"/>
      <c r="I82" s="421"/>
      <c r="J82" s="422"/>
      <c r="K82" s="421"/>
      <c r="L82" s="422"/>
      <c r="M82" s="421"/>
      <c r="N82" s="422"/>
      <c r="O82" s="421"/>
      <c r="P82" s="422"/>
      <c r="Q82" s="421"/>
      <c r="R82" s="422"/>
      <c r="S82" s="421"/>
      <c r="T82" s="422"/>
      <c r="U82" s="421"/>
      <c r="V82" s="422"/>
      <c r="W82" s="421"/>
      <c r="X82" s="422"/>
      <c r="Y82" s="421"/>
      <c r="Z82" s="422"/>
      <c r="AA82" s="421"/>
      <c r="AB82" s="422"/>
      <c r="AC82" s="423"/>
      <c r="AD82" s="424"/>
      <c r="AE82" s="92"/>
      <c r="AF82" s="92"/>
      <c r="AG82" s="92"/>
      <c r="AH82" s="96"/>
      <c r="AI82" s="94"/>
      <c r="AJ82" s="94"/>
      <c r="AK82" s="94"/>
      <c r="AL82" s="84"/>
    </row>
    <row r="83" spans="1:38" ht="15.75">
      <c r="A83" s="95">
        <v>6</v>
      </c>
      <c r="B83" s="119">
        <v>6</v>
      </c>
      <c r="C83" s="122" t="s">
        <v>519</v>
      </c>
      <c r="D83" s="122" t="s">
        <v>18</v>
      </c>
      <c r="E83" s="421"/>
      <c r="F83" s="422"/>
      <c r="G83" s="421"/>
      <c r="H83" s="422"/>
      <c r="I83" s="421"/>
      <c r="J83" s="422"/>
      <c r="K83" s="421"/>
      <c r="L83" s="422"/>
      <c r="M83" s="421"/>
      <c r="N83" s="422"/>
      <c r="O83" s="421"/>
      <c r="P83" s="422"/>
      <c r="Q83" s="421"/>
      <c r="R83" s="422"/>
      <c r="S83" s="421"/>
      <c r="T83" s="422"/>
      <c r="U83" s="421"/>
      <c r="V83" s="422"/>
      <c r="W83" s="421"/>
      <c r="X83" s="422"/>
      <c r="Y83" s="421"/>
      <c r="Z83" s="422"/>
      <c r="AA83" s="421"/>
      <c r="AB83" s="422"/>
      <c r="AC83" s="423"/>
      <c r="AD83" s="424"/>
      <c r="AE83" s="92"/>
      <c r="AF83" s="92"/>
      <c r="AG83" s="92"/>
      <c r="AH83" s="96"/>
      <c r="AI83" s="94"/>
      <c r="AJ83" s="94"/>
      <c r="AK83" s="94"/>
      <c r="AL83" s="84"/>
    </row>
    <row r="84" spans="1:38" ht="15.75">
      <c r="A84" s="95">
        <v>7</v>
      </c>
      <c r="B84" s="119">
        <v>7</v>
      </c>
      <c r="C84" s="122" t="s">
        <v>520</v>
      </c>
      <c r="D84" s="122" t="s">
        <v>22</v>
      </c>
      <c r="E84" s="421"/>
      <c r="F84" s="422"/>
      <c r="G84" s="421"/>
      <c r="H84" s="422"/>
      <c r="I84" s="421"/>
      <c r="J84" s="422"/>
      <c r="K84" s="421"/>
      <c r="L84" s="422"/>
      <c r="M84" s="421"/>
      <c r="N84" s="422"/>
      <c r="O84" s="421"/>
      <c r="P84" s="422"/>
      <c r="Q84" s="421"/>
      <c r="R84" s="422"/>
      <c r="S84" s="421"/>
      <c r="T84" s="422"/>
      <c r="U84" s="421"/>
      <c r="V84" s="422"/>
      <c r="W84" s="421"/>
      <c r="X84" s="422"/>
      <c r="Y84" s="421"/>
      <c r="Z84" s="422"/>
      <c r="AA84" s="421"/>
      <c r="AB84" s="422"/>
      <c r="AC84" s="423"/>
      <c r="AD84" s="424"/>
      <c r="AE84" s="92"/>
      <c r="AF84" s="92"/>
      <c r="AG84" s="92"/>
      <c r="AH84" s="96"/>
      <c r="AI84" s="94"/>
      <c r="AJ84" s="94"/>
      <c r="AK84" s="94"/>
      <c r="AL84" s="84"/>
    </row>
    <row r="85" spans="1:38" ht="15.75">
      <c r="A85" s="95">
        <v>8</v>
      </c>
      <c r="B85" s="119">
        <v>9</v>
      </c>
      <c r="C85" s="122" t="s">
        <v>521</v>
      </c>
      <c r="D85" s="122" t="s">
        <v>92</v>
      </c>
      <c r="E85" s="421"/>
      <c r="F85" s="422"/>
      <c r="G85" s="421"/>
      <c r="H85" s="422"/>
      <c r="I85" s="421"/>
      <c r="J85" s="422"/>
      <c r="K85" s="421"/>
      <c r="L85" s="422"/>
      <c r="M85" s="421"/>
      <c r="N85" s="422"/>
      <c r="O85" s="421"/>
      <c r="P85" s="422"/>
      <c r="Q85" s="421"/>
      <c r="R85" s="422"/>
      <c r="S85" s="421"/>
      <c r="T85" s="422"/>
      <c r="U85" s="421"/>
      <c r="V85" s="422"/>
      <c r="W85" s="421"/>
      <c r="X85" s="422"/>
      <c r="Y85" s="421"/>
      <c r="Z85" s="422"/>
      <c r="AA85" s="421"/>
      <c r="AB85" s="422"/>
      <c r="AC85" s="423"/>
      <c r="AD85" s="424"/>
      <c r="AE85" s="92"/>
      <c r="AF85" s="92"/>
      <c r="AG85" s="92"/>
      <c r="AH85" s="96"/>
      <c r="AI85" s="94"/>
      <c r="AJ85" s="94"/>
      <c r="AK85" s="94"/>
      <c r="AL85" s="84"/>
    </row>
    <row r="86" spans="1:38" ht="15.75">
      <c r="A86" s="95">
        <v>9</v>
      </c>
      <c r="B86" s="119">
        <v>10</v>
      </c>
      <c r="C86" s="122" t="s">
        <v>522</v>
      </c>
      <c r="D86" s="122" t="s">
        <v>92</v>
      </c>
      <c r="E86" s="421"/>
      <c r="F86" s="422"/>
      <c r="G86" s="421"/>
      <c r="H86" s="422"/>
      <c r="I86" s="421"/>
      <c r="J86" s="422"/>
      <c r="K86" s="421"/>
      <c r="L86" s="422"/>
      <c r="M86" s="421"/>
      <c r="N86" s="422"/>
      <c r="O86" s="421"/>
      <c r="P86" s="422"/>
      <c r="Q86" s="421"/>
      <c r="R86" s="422"/>
      <c r="S86" s="421"/>
      <c r="T86" s="422"/>
      <c r="U86" s="421"/>
      <c r="V86" s="422"/>
      <c r="W86" s="421"/>
      <c r="X86" s="422"/>
      <c r="Y86" s="421"/>
      <c r="Z86" s="422"/>
      <c r="AA86" s="421"/>
      <c r="AB86" s="422"/>
      <c r="AC86" s="423"/>
      <c r="AD86" s="424"/>
      <c r="AE86" s="92"/>
      <c r="AF86" s="92"/>
      <c r="AG86" s="92"/>
      <c r="AH86" s="96"/>
      <c r="AI86" s="94"/>
      <c r="AJ86" s="94"/>
      <c r="AK86" s="94"/>
      <c r="AL86" s="84"/>
    </row>
    <row r="87" spans="1:38" ht="15.75">
      <c r="A87" s="95">
        <v>10</v>
      </c>
      <c r="B87" s="119">
        <v>11</v>
      </c>
      <c r="C87" s="122" t="s">
        <v>523</v>
      </c>
      <c r="D87" s="122" t="s">
        <v>19</v>
      </c>
      <c r="E87" s="421"/>
      <c r="F87" s="422"/>
      <c r="G87" s="421"/>
      <c r="H87" s="422"/>
      <c r="I87" s="421"/>
      <c r="J87" s="422"/>
      <c r="K87" s="421"/>
      <c r="L87" s="422"/>
      <c r="M87" s="421"/>
      <c r="N87" s="422"/>
      <c r="O87" s="421"/>
      <c r="P87" s="422"/>
      <c r="Q87" s="421"/>
      <c r="R87" s="422"/>
      <c r="S87" s="421"/>
      <c r="T87" s="422"/>
      <c r="U87" s="421"/>
      <c r="V87" s="422"/>
      <c r="W87" s="421"/>
      <c r="X87" s="422"/>
      <c r="Y87" s="421"/>
      <c r="Z87" s="422"/>
      <c r="AA87" s="421"/>
      <c r="AB87" s="422"/>
      <c r="AC87" s="423"/>
      <c r="AD87" s="424"/>
      <c r="AE87" s="92"/>
      <c r="AF87" s="92"/>
      <c r="AG87" s="92"/>
      <c r="AH87" s="96"/>
      <c r="AI87" s="94"/>
      <c r="AJ87" s="94"/>
      <c r="AK87" s="94"/>
      <c r="AL87" s="84"/>
    </row>
    <row r="88" spans="1:38" ht="15.75">
      <c r="A88" s="95">
        <v>11</v>
      </c>
      <c r="B88" s="119">
        <v>12</v>
      </c>
      <c r="C88" s="122" t="s">
        <v>524</v>
      </c>
      <c r="D88" s="119" t="s">
        <v>19</v>
      </c>
      <c r="E88" s="421"/>
      <c r="F88" s="422"/>
      <c r="G88" s="421"/>
      <c r="H88" s="422"/>
      <c r="I88" s="421"/>
      <c r="J88" s="422"/>
      <c r="K88" s="421"/>
      <c r="L88" s="422"/>
      <c r="M88" s="421"/>
      <c r="N88" s="422"/>
      <c r="O88" s="421"/>
      <c r="P88" s="422"/>
      <c r="Q88" s="421"/>
      <c r="R88" s="422"/>
      <c r="S88" s="421"/>
      <c r="T88" s="422"/>
      <c r="U88" s="421"/>
      <c r="V88" s="422"/>
      <c r="W88" s="421"/>
      <c r="X88" s="422"/>
      <c r="Y88" s="421"/>
      <c r="Z88" s="422"/>
      <c r="AA88" s="421"/>
      <c r="AB88" s="422"/>
      <c r="AC88" s="423"/>
      <c r="AD88" s="424"/>
      <c r="AE88" s="92"/>
      <c r="AF88" s="92"/>
      <c r="AG88" s="92"/>
      <c r="AH88" s="96"/>
      <c r="AI88" s="94"/>
      <c r="AJ88" s="94"/>
      <c r="AK88" s="94"/>
      <c r="AL88" s="84"/>
    </row>
    <row r="89" spans="1:38" ht="15.75">
      <c r="A89" s="95"/>
      <c r="B89" s="119"/>
      <c r="C89" s="119"/>
      <c r="D89" s="119"/>
      <c r="E89" s="421"/>
      <c r="F89" s="422"/>
      <c r="G89" s="421"/>
      <c r="H89" s="422"/>
      <c r="I89" s="421"/>
      <c r="J89" s="422"/>
      <c r="K89" s="421"/>
      <c r="L89" s="422"/>
      <c r="M89" s="421"/>
      <c r="N89" s="422"/>
      <c r="O89" s="421"/>
      <c r="P89" s="422"/>
      <c r="Q89" s="421"/>
      <c r="R89" s="422"/>
      <c r="S89" s="421"/>
      <c r="T89" s="422"/>
      <c r="U89" s="421"/>
      <c r="V89" s="422"/>
      <c r="W89" s="421"/>
      <c r="X89" s="422"/>
      <c r="Y89" s="421"/>
      <c r="Z89" s="422"/>
      <c r="AA89" s="421"/>
      <c r="AB89" s="422"/>
      <c r="AC89" s="423"/>
      <c r="AD89" s="424"/>
      <c r="AE89" s="92"/>
      <c r="AF89" s="92"/>
      <c r="AG89" s="92"/>
      <c r="AH89" s="96"/>
      <c r="AI89" s="94"/>
      <c r="AJ89" s="94"/>
      <c r="AK89" s="94"/>
      <c r="AL89" s="84"/>
    </row>
    <row r="90" spans="1:38" ht="15.75">
      <c r="A90" s="95"/>
      <c r="B90" s="119"/>
      <c r="C90" s="119"/>
      <c r="D90" s="119"/>
      <c r="E90" s="421"/>
      <c r="F90" s="422"/>
      <c r="G90" s="421"/>
      <c r="H90" s="422"/>
      <c r="I90" s="421"/>
      <c r="J90" s="422"/>
      <c r="K90" s="421"/>
      <c r="L90" s="422"/>
      <c r="M90" s="421"/>
      <c r="N90" s="422"/>
      <c r="O90" s="421"/>
      <c r="P90" s="422"/>
      <c r="Q90" s="421"/>
      <c r="R90" s="422"/>
      <c r="S90" s="421"/>
      <c r="T90" s="422"/>
      <c r="U90" s="421"/>
      <c r="V90" s="422"/>
      <c r="W90" s="421"/>
      <c r="X90" s="422"/>
      <c r="Y90" s="421"/>
      <c r="Z90" s="422"/>
      <c r="AA90" s="421"/>
      <c r="AB90" s="422"/>
      <c r="AC90" s="423"/>
      <c r="AD90" s="424"/>
      <c r="AE90" s="92"/>
      <c r="AF90" s="92"/>
      <c r="AG90" s="92"/>
      <c r="AH90" s="96"/>
      <c r="AI90" s="94"/>
      <c r="AJ90" s="94"/>
      <c r="AK90" s="94"/>
      <c r="AL90" s="84"/>
    </row>
    <row r="91" spans="1:38" ht="12.75">
      <c r="A91" s="95"/>
      <c r="B91" s="119"/>
      <c r="C91" s="119"/>
      <c r="D91" s="119"/>
      <c r="E91" s="421"/>
      <c r="F91" s="422"/>
      <c r="G91" s="421"/>
      <c r="H91" s="422"/>
      <c r="I91" s="421"/>
      <c r="J91" s="422"/>
      <c r="K91" s="421"/>
      <c r="L91" s="422"/>
      <c r="M91" s="421"/>
      <c r="N91" s="422"/>
      <c r="O91" s="421"/>
      <c r="P91" s="422"/>
      <c r="Q91" s="421"/>
      <c r="R91" s="422"/>
      <c r="S91" s="421"/>
      <c r="T91" s="422"/>
      <c r="U91" s="421"/>
      <c r="V91" s="422"/>
      <c r="W91" s="421"/>
      <c r="X91" s="422"/>
      <c r="Y91" s="421"/>
      <c r="Z91" s="422"/>
      <c r="AA91" s="421"/>
      <c r="AB91" s="422"/>
      <c r="AC91" s="423"/>
      <c r="AD91" s="424"/>
      <c r="AE91" s="92"/>
      <c r="AF91" s="92"/>
      <c r="AG91" s="92"/>
      <c r="AH91" s="93"/>
      <c r="AI91" s="94"/>
      <c r="AJ91" s="94"/>
      <c r="AK91" s="94"/>
      <c r="AL91" s="84"/>
    </row>
    <row r="92" spans="1:38" ht="17.25" customHeight="1">
      <c r="A92" s="95"/>
      <c r="B92" s="119"/>
      <c r="C92" s="119"/>
      <c r="D92" s="119"/>
      <c r="E92" s="421"/>
      <c r="F92" s="422"/>
      <c r="G92" s="421"/>
      <c r="H92" s="422"/>
      <c r="I92" s="421"/>
      <c r="J92" s="422"/>
      <c r="K92" s="421"/>
      <c r="L92" s="422"/>
      <c r="M92" s="421"/>
      <c r="N92" s="422"/>
      <c r="O92" s="421"/>
      <c r="P92" s="422"/>
      <c r="Q92" s="421"/>
      <c r="R92" s="422"/>
      <c r="S92" s="421"/>
      <c r="T92" s="422"/>
      <c r="U92" s="421"/>
      <c r="V92" s="422"/>
      <c r="W92" s="421"/>
      <c r="X92" s="422"/>
      <c r="Y92" s="421"/>
      <c r="Z92" s="422"/>
      <c r="AA92" s="421"/>
      <c r="AB92" s="422"/>
      <c r="AC92" s="423"/>
      <c r="AD92" s="424"/>
      <c r="AE92" s="92"/>
      <c r="AF92" s="92"/>
      <c r="AG92" s="92"/>
      <c r="AH92" s="93"/>
      <c r="AI92" s="94"/>
      <c r="AJ92" s="94"/>
      <c r="AK92" s="94"/>
      <c r="AL92" s="84"/>
    </row>
    <row r="93" spans="1:38" ht="12.7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9"/>
      <c r="AD93" s="99"/>
      <c r="AE93" s="98"/>
      <c r="AF93" s="98"/>
      <c r="AG93" s="98"/>
      <c r="AH93" s="98"/>
      <c r="AI93" s="98"/>
      <c r="AJ93" s="98"/>
      <c r="AK93" s="98"/>
      <c r="AL93" s="84"/>
    </row>
    <row r="94" spans="1:38" ht="12.75">
      <c r="A94" s="411" t="s">
        <v>172</v>
      </c>
      <c r="B94" s="417"/>
      <c r="C94" s="417"/>
      <c r="D94" s="417"/>
      <c r="E94" s="417"/>
      <c r="F94" s="418"/>
      <c r="G94" s="411" t="s">
        <v>172</v>
      </c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8"/>
      <c r="Y94" s="416" t="s">
        <v>173</v>
      </c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8"/>
      <c r="AL94" s="84"/>
    </row>
    <row r="95" spans="1:38" ht="12.75">
      <c r="A95" s="95" t="s">
        <v>0</v>
      </c>
      <c r="B95" s="95" t="s">
        <v>174</v>
      </c>
      <c r="C95" s="95" t="s">
        <v>156</v>
      </c>
      <c r="D95" s="95" t="s">
        <v>157</v>
      </c>
      <c r="E95" s="416" t="s">
        <v>183</v>
      </c>
      <c r="F95" s="418"/>
      <c r="G95" s="416" t="s">
        <v>0</v>
      </c>
      <c r="H95" s="419"/>
      <c r="I95" s="416" t="s">
        <v>174</v>
      </c>
      <c r="J95" s="418"/>
      <c r="K95" s="416" t="s">
        <v>156</v>
      </c>
      <c r="L95" s="417"/>
      <c r="M95" s="417"/>
      <c r="N95" s="417"/>
      <c r="O95" s="417"/>
      <c r="P95" s="417"/>
      <c r="Q95" s="420" t="s">
        <v>157</v>
      </c>
      <c r="R95" s="417"/>
      <c r="S95" s="417"/>
      <c r="T95" s="417"/>
      <c r="U95" s="417"/>
      <c r="V95" s="418"/>
      <c r="W95" s="416" t="s">
        <v>183</v>
      </c>
      <c r="X95" s="418"/>
      <c r="Y95" s="100"/>
      <c r="Z95" s="101"/>
      <c r="AA95" s="101"/>
      <c r="AB95" s="101"/>
      <c r="AC95" s="102"/>
      <c r="AD95" s="102"/>
      <c r="AE95" s="81"/>
      <c r="AF95" s="81"/>
      <c r="AG95" s="103"/>
      <c r="AH95" s="103"/>
      <c r="AI95" s="103"/>
      <c r="AJ95" s="103"/>
      <c r="AK95" s="104"/>
      <c r="AL95" s="84"/>
    </row>
    <row r="96" spans="1:38" ht="16.5" customHeight="1">
      <c r="A96" s="106">
        <v>1</v>
      </c>
      <c r="B96" s="106"/>
      <c r="C96" s="107"/>
      <c r="D96" s="107"/>
      <c r="E96" s="407"/>
      <c r="F96" s="408"/>
      <c r="G96" s="409">
        <v>9</v>
      </c>
      <c r="H96" s="410">
        <f aca="true" t="shared" si="2" ref="H96:H103">IF(ISERROR(VLOOKUP(G96,$C$6:$AR$21,31,FALSE))=TRUE,"",CONCATENATE(VLOOKUP(G96,$C$6:$AR$21,38,FALSE),VLOOKUP(G96,$C$6:$AR$21,42,FALSE)))</f>
      </c>
      <c r="I96" s="411"/>
      <c r="J96" s="412"/>
      <c r="K96" s="413"/>
      <c r="L96" s="414"/>
      <c r="M96" s="414"/>
      <c r="N96" s="414"/>
      <c r="O96" s="414"/>
      <c r="P96" s="415"/>
      <c r="Q96" s="413"/>
      <c r="R96" s="414"/>
      <c r="S96" s="414"/>
      <c r="T96" s="414"/>
      <c r="U96" s="414"/>
      <c r="V96" s="415"/>
      <c r="W96" s="407"/>
      <c r="X96" s="408"/>
      <c r="Y96" s="108"/>
      <c r="Z96" s="109"/>
      <c r="AA96" s="109"/>
      <c r="AB96" s="109"/>
      <c r="AC96" s="110"/>
      <c r="AD96" s="110"/>
      <c r="AE96" s="109"/>
      <c r="AF96" s="109"/>
      <c r="AG96" s="109"/>
      <c r="AH96" s="111"/>
      <c r="AI96" s="111"/>
      <c r="AJ96" s="111"/>
      <c r="AK96" s="112"/>
      <c r="AL96" s="84"/>
    </row>
    <row r="97" spans="1:38" ht="16.5" customHeight="1">
      <c r="A97" s="106">
        <v>2</v>
      </c>
      <c r="B97" s="106"/>
      <c r="C97" s="107"/>
      <c r="D97" s="107"/>
      <c r="E97" s="407"/>
      <c r="F97" s="408"/>
      <c r="G97" s="409">
        <v>10</v>
      </c>
      <c r="H97" s="410">
        <f t="shared" si="2"/>
      </c>
      <c r="I97" s="411"/>
      <c r="J97" s="412"/>
      <c r="K97" s="413"/>
      <c r="L97" s="414"/>
      <c r="M97" s="414"/>
      <c r="N97" s="414"/>
      <c r="O97" s="414"/>
      <c r="P97" s="415"/>
      <c r="Q97" s="413"/>
      <c r="R97" s="414"/>
      <c r="S97" s="414"/>
      <c r="T97" s="414"/>
      <c r="U97" s="414"/>
      <c r="V97" s="415"/>
      <c r="W97" s="407"/>
      <c r="X97" s="408"/>
      <c r="Y97" s="113"/>
      <c r="Z97" s="105"/>
      <c r="AA97" s="105"/>
      <c r="AB97" s="105"/>
      <c r="AC97" s="114"/>
      <c r="AD97" s="114"/>
      <c r="AE97" s="105"/>
      <c r="AF97" s="105"/>
      <c r="AG97" s="105"/>
      <c r="AH97" s="84"/>
      <c r="AI97" s="84"/>
      <c r="AJ97" s="84"/>
      <c r="AK97" s="115"/>
      <c r="AL97" s="84"/>
    </row>
    <row r="98" spans="1:38" ht="16.5" customHeight="1">
      <c r="A98" s="106">
        <v>3</v>
      </c>
      <c r="B98" s="106"/>
      <c r="C98" s="107"/>
      <c r="D98" s="107"/>
      <c r="E98" s="407"/>
      <c r="F98" s="408"/>
      <c r="G98" s="409">
        <v>11</v>
      </c>
      <c r="H98" s="410">
        <f t="shared" si="2"/>
      </c>
      <c r="I98" s="411"/>
      <c r="J98" s="412"/>
      <c r="K98" s="413"/>
      <c r="L98" s="414"/>
      <c r="M98" s="414"/>
      <c r="N98" s="414"/>
      <c r="O98" s="414"/>
      <c r="P98" s="415"/>
      <c r="Q98" s="413"/>
      <c r="R98" s="414"/>
      <c r="S98" s="414"/>
      <c r="T98" s="414"/>
      <c r="U98" s="414"/>
      <c r="V98" s="415"/>
      <c r="W98" s="407"/>
      <c r="X98" s="408"/>
      <c r="Y98" s="113"/>
      <c r="Z98" s="105"/>
      <c r="AA98" s="105"/>
      <c r="AB98" s="105"/>
      <c r="AC98" s="114"/>
      <c r="AD98" s="114"/>
      <c r="AE98" s="105"/>
      <c r="AF98" s="105"/>
      <c r="AG98" s="105"/>
      <c r="AH98" s="84"/>
      <c r="AI98" s="84"/>
      <c r="AJ98" s="84"/>
      <c r="AK98" s="115"/>
      <c r="AL98" s="84"/>
    </row>
    <row r="99" spans="1:38" ht="16.5" customHeight="1">
      <c r="A99" s="106">
        <v>4</v>
      </c>
      <c r="B99" s="106"/>
      <c r="C99" s="107"/>
      <c r="D99" s="107"/>
      <c r="E99" s="407"/>
      <c r="F99" s="408"/>
      <c r="G99" s="409">
        <v>12</v>
      </c>
      <c r="H99" s="410">
        <f t="shared" si="2"/>
      </c>
      <c r="I99" s="411"/>
      <c r="J99" s="412"/>
      <c r="K99" s="413"/>
      <c r="L99" s="414"/>
      <c r="M99" s="414"/>
      <c r="N99" s="414"/>
      <c r="O99" s="414"/>
      <c r="P99" s="415"/>
      <c r="Q99" s="413"/>
      <c r="R99" s="414"/>
      <c r="S99" s="414"/>
      <c r="T99" s="414"/>
      <c r="U99" s="414"/>
      <c r="V99" s="415"/>
      <c r="W99" s="407"/>
      <c r="X99" s="408"/>
      <c r="Y99" s="116"/>
      <c r="Z99" s="103"/>
      <c r="AA99" s="103"/>
      <c r="AB99" s="103"/>
      <c r="AC99" s="117"/>
      <c r="AD99" s="117"/>
      <c r="AE99" s="103"/>
      <c r="AF99" s="103"/>
      <c r="AG99" s="103"/>
      <c r="AH99" s="81"/>
      <c r="AI99" s="81"/>
      <c r="AJ99" s="81"/>
      <c r="AK99" s="83"/>
      <c r="AL99" s="84"/>
    </row>
    <row r="100" spans="1:38" ht="16.5" customHeight="1">
      <c r="A100" s="106">
        <v>5</v>
      </c>
      <c r="B100" s="106"/>
      <c r="C100" s="107"/>
      <c r="D100" s="107"/>
      <c r="E100" s="407"/>
      <c r="F100" s="408"/>
      <c r="G100" s="409">
        <v>13</v>
      </c>
      <c r="H100" s="410">
        <f t="shared" si="2"/>
      </c>
      <c r="I100" s="411"/>
      <c r="J100" s="412"/>
      <c r="K100" s="413"/>
      <c r="L100" s="414"/>
      <c r="M100" s="414"/>
      <c r="N100" s="414"/>
      <c r="O100" s="414"/>
      <c r="P100" s="415"/>
      <c r="Q100" s="413"/>
      <c r="R100" s="414"/>
      <c r="S100" s="414"/>
      <c r="T100" s="414"/>
      <c r="U100" s="414"/>
      <c r="V100" s="415"/>
      <c r="W100" s="407"/>
      <c r="X100" s="408"/>
      <c r="Y100" s="108"/>
      <c r="Z100" s="109"/>
      <c r="AA100" s="109"/>
      <c r="AB100" s="109"/>
      <c r="AC100" s="110"/>
      <c r="AD100" s="110"/>
      <c r="AE100" s="109"/>
      <c r="AF100" s="109"/>
      <c r="AG100" s="109"/>
      <c r="AH100" s="111"/>
      <c r="AI100" s="111"/>
      <c r="AJ100" s="111"/>
      <c r="AK100" s="112"/>
      <c r="AL100" s="84"/>
    </row>
    <row r="101" spans="1:38" ht="16.5" customHeight="1">
      <c r="A101" s="106">
        <v>6</v>
      </c>
      <c r="B101" s="106"/>
      <c r="C101" s="107"/>
      <c r="D101" s="107"/>
      <c r="E101" s="407"/>
      <c r="F101" s="408"/>
      <c r="G101" s="409">
        <v>14</v>
      </c>
      <c r="H101" s="410">
        <f t="shared" si="2"/>
      </c>
      <c r="I101" s="411"/>
      <c r="J101" s="412"/>
      <c r="K101" s="413"/>
      <c r="L101" s="414"/>
      <c r="M101" s="414"/>
      <c r="N101" s="414"/>
      <c r="O101" s="414"/>
      <c r="P101" s="415"/>
      <c r="Q101" s="413"/>
      <c r="R101" s="414"/>
      <c r="S101" s="414"/>
      <c r="T101" s="414"/>
      <c r="U101" s="414"/>
      <c r="V101" s="415"/>
      <c r="W101" s="407"/>
      <c r="X101" s="408"/>
      <c r="Y101" s="416" t="s">
        <v>176</v>
      </c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8"/>
      <c r="AL101" s="84"/>
    </row>
    <row r="102" spans="1:38" ht="16.5" customHeight="1">
      <c r="A102" s="106">
        <v>7</v>
      </c>
      <c r="B102" s="106"/>
      <c r="C102" s="107"/>
      <c r="D102" s="107"/>
      <c r="E102" s="407"/>
      <c r="F102" s="408"/>
      <c r="G102" s="409">
        <v>15</v>
      </c>
      <c r="H102" s="410">
        <f t="shared" si="2"/>
      </c>
      <c r="I102" s="411"/>
      <c r="J102" s="412"/>
      <c r="K102" s="413"/>
      <c r="L102" s="414"/>
      <c r="M102" s="414"/>
      <c r="N102" s="414"/>
      <c r="O102" s="414"/>
      <c r="P102" s="415"/>
      <c r="Q102" s="413"/>
      <c r="R102" s="414"/>
      <c r="S102" s="414"/>
      <c r="T102" s="414"/>
      <c r="U102" s="414"/>
      <c r="V102" s="415"/>
      <c r="W102" s="407"/>
      <c r="X102" s="408"/>
      <c r="Y102" s="116"/>
      <c r="Z102" s="103"/>
      <c r="AA102" s="103"/>
      <c r="AB102" s="103"/>
      <c r="AC102" s="117"/>
      <c r="AD102" s="82"/>
      <c r="AE102" s="81"/>
      <c r="AF102" s="81"/>
      <c r="AG102" s="81"/>
      <c r="AH102" s="81"/>
      <c r="AI102" s="81"/>
      <c r="AJ102" s="81"/>
      <c r="AK102" s="83"/>
      <c r="AL102" s="84"/>
    </row>
    <row r="103" spans="1:38" ht="16.5" customHeight="1">
      <c r="A103" s="106">
        <v>8</v>
      </c>
      <c r="B103" s="106"/>
      <c r="C103" s="107"/>
      <c r="D103" s="107"/>
      <c r="E103" s="407"/>
      <c r="F103" s="408"/>
      <c r="G103" s="409">
        <v>16</v>
      </c>
      <c r="H103" s="410">
        <f t="shared" si="2"/>
      </c>
      <c r="I103" s="411"/>
      <c r="J103" s="412"/>
      <c r="K103" s="413"/>
      <c r="L103" s="414"/>
      <c r="M103" s="414"/>
      <c r="N103" s="414"/>
      <c r="O103" s="414"/>
      <c r="P103" s="415"/>
      <c r="Q103" s="413"/>
      <c r="R103" s="414"/>
      <c r="S103" s="414"/>
      <c r="T103" s="414"/>
      <c r="U103" s="414"/>
      <c r="V103" s="415"/>
      <c r="W103" s="407"/>
      <c r="X103" s="408"/>
      <c r="Y103" s="108"/>
      <c r="Z103" s="109"/>
      <c r="AA103" s="109"/>
      <c r="AB103" s="109"/>
      <c r="AC103" s="110"/>
      <c r="AD103" s="118"/>
      <c r="AE103" s="111"/>
      <c r="AF103" s="111"/>
      <c r="AG103" s="111"/>
      <c r="AH103" s="111"/>
      <c r="AI103" s="111"/>
      <c r="AJ103" s="111"/>
      <c r="AK103" s="112"/>
      <c r="AL103" s="84"/>
    </row>
    <row r="104" spans="1:38" ht="16.5" customHeight="1">
      <c r="A104" s="223"/>
      <c r="B104" s="219"/>
      <c r="C104" s="220"/>
      <c r="D104" s="220"/>
      <c r="E104" s="221"/>
      <c r="F104" s="221"/>
      <c r="G104" s="218"/>
      <c r="H104" s="218"/>
      <c r="I104" s="219"/>
      <c r="J104" s="219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1"/>
      <c r="X104" s="221"/>
      <c r="Y104" s="105"/>
      <c r="Z104" s="105"/>
      <c r="AA104" s="105"/>
      <c r="AB104" s="105"/>
      <c r="AC104" s="114"/>
      <c r="AD104" s="222"/>
      <c r="AE104" s="84"/>
      <c r="AF104" s="84"/>
      <c r="AG104" s="84"/>
      <c r="AH104" s="84"/>
      <c r="AI104" s="84"/>
      <c r="AJ104" s="84"/>
      <c r="AK104" s="115"/>
      <c r="AL104" s="84"/>
    </row>
    <row r="105" spans="1:38" ht="16.5" customHeight="1">
      <c r="A105" s="224"/>
      <c r="B105" s="224"/>
      <c r="C105" s="225"/>
      <c r="D105" s="225"/>
      <c r="E105" s="226"/>
      <c r="F105" s="226"/>
      <c r="G105" s="227"/>
      <c r="H105" s="227"/>
      <c r="I105" s="224"/>
      <c r="J105" s="224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6"/>
      <c r="X105" s="226"/>
      <c r="Y105" s="105"/>
      <c r="Z105" s="105"/>
      <c r="AA105" s="105"/>
      <c r="AB105" s="105"/>
      <c r="AC105" s="114"/>
      <c r="AD105" s="222"/>
      <c r="AE105" s="84"/>
      <c r="AF105" s="84"/>
      <c r="AG105" s="84"/>
      <c r="AH105" s="84"/>
      <c r="AI105" s="84"/>
      <c r="AJ105" s="84"/>
      <c r="AK105" s="115"/>
      <c r="AL105" s="84"/>
    </row>
    <row r="106" spans="1:38" ht="20.25">
      <c r="A106" s="80" t="s">
        <v>178</v>
      </c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91"/>
      <c r="AD106" s="291"/>
      <c r="AE106" s="252"/>
      <c r="AF106" s="252"/>
      <c r="AG106" s="252"/>
      <c r="AH106" s="252"/>
      <c r="AI106" s="252"/>
      <c r="AJ106" s="252"/>
      <c r="AK106" s="251"/>
      <c r="AL106" s="84"/>
    </row>
    <row r="107" spans="1:38" ht="12.75">
      <c r="A107" s="428" t="s">
        <v>148</v>
      </c>
      <c r="B107" s="429"/>
      <c r="C107" s="341" t="s">
        <v>319</v>
      </c>
      <c r="D107" s="342"/>
      <c r="E107" s="428" t="s">
        <v>149</v>
      </c>
      <c r="F107" s="430"/>
      <c r="G107" s="429"/>
      <c r="H107" s="411" t="s">
        <v>360</v>
      </c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12"/>
      <c r="W107" s="428" t="s">
        <v>150</v>
      </c>
      <c r="X107" s="430"/>
      <c r="Y107" s="429"/>
      <c r="Z107" s="432" t="s">
        <v>368</v>
      </c>
      <c r="AA107" s="433"/>
      <c r="AB107" s="433"/>
      <c r="AC107" s="434"/>
      <c r="AD107" s="434"/>
      <c r="AE107" s="434"/>
      <c r="AF107" s="434"/>
      <c r="AG107" s="434"/>
      <c r="AH107" s="434"/>
      <c r="AI107" s="434"/>
      <c r="AJ107" s="434"/>
      <c r="AK107" s="435"/>
      <c r="AL107" s="84"/>
    </row>
    <row r="108" spans="1:38" ht="12.75">
      <c r="A108" s="428" t="s">
        <v>179</v>
      </c>
      <c r="B108" s="429"/>
      <c r="C108" s="377" t="s">
        <v>186</v>
      </c>
      <c r="D108" s="378"/>
      <c r="E108" s="428" t="s">
        <v>151</v>
      </c>
      <c r="F108" s="430"/>
      <c r="G108" s="429"/>
      <c r="H108" s="436" t="s">
        <v>202</v>
      </c>
      <c r="I108" s="437"/>
      <c r="J108" s="438"/>
      <c r="K108" s="428" t="s">
        <v>152</v>
      </c>
      <c r="L108" s="430"/>
      <c r="M108" s="430"/>
      <c r="N108" s="430"/>
      <c r="O108" s="430"/>
      <c r="P108" s="429"/>
      <c r="Q108" s="439"/>
      <c r="R108" s="440"/>
      <c r="S108" s="441"/>
      <c r="T108" s="442" t="s">
        <v>153</v>
      </c>
      <c r="U108" s="443"/>
      <c r="V108" s="444"/>
      <c r="W108" s="445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7"/>
      <c r="AL108" s="84"/>
    </row>
    <row r="109" spans="1:38" ht="12.75">
      <c r="A109" s="85" t="s">
        <v>154</v>
      </c>
      <c r="B109" s="85" t="s">
        <v>155</v>
      </c>
      <c r="C109" s="85" t="s">
        <v>156</v>
      </c>
      <c r="D109" s="86" t="s">
        <v>157</v>
      </c>
      <c r="E109" s="448"/>
      <c r="F109" s="449"/>
      <c r="G109" s="448"/>
      <c r="H109" s="449"/>
      <c r="I109" s="448"/>
      <c r="J109" s="449"/>
      <c r="K109" s="448"/>
      <c r="L109" s="449"/>
      <c r="M109" s="448"/>
      <c r="N109" s="449"/>
      <c r="O109" s="448"/>
      <c r="P109" s="449"/>
      <c r="Q109" s="448"/>
      <c r="R109" s="449"/>
      <c r="S109" s="448"/>
      <c r="T109" s="449"/>
      <c r="U109" s="448"/>
      <c r="V109" s="449"/>
      <c r="W109" s="448"/>
      <c r="X109" s="449"/>
      <c r="Y109" s="448"/>
      <c r="Z109" s="449"/>
      <c r="AA109" s="448"/>
      <c r="AB109" s="449"/>
      <c r="AC109" s="450" t="s">
        <v>166</v>
      </c>
      <c r="AD109" s="451"/>
      <c r="AE109" s="452" t="s">
        <v>180</v>
      </c>
      <c r="AF109" s="452" t="s">
        <v>181</v>
      </c>
      <c r="AG109" s="452" t="s">
        <v>182</v>
      </c>
      <c r="AH109" s="454" t="s">
        <v>167</v>
      </c>
      <c r="AI109" s="87"/>
      <c r="AJ109" s="456" t="s">
        <v>168</v>
      </c>
      <c r="AK109" s="457"/>
      <c r="AL109" s="84"/>
    </row>
    <row r="110" spans="1:38" ht="12.75">
      <c r="A110" s="88"/>
      <c r="B110" s="88"/>
      <c r="C110" s="89"/>
      <c r="D110" s="90"/>
      <c r="E110" s="425" t="s">
        <v>169</v>
      </c>
      <c r="F110" s="420"/>
      <c r="G110" s="425" t="s">
        <v>169</v>
      </c>
      <c r="H110" s="420"/>
      <c r="I110" s="425" t="s">
        <v>169</v>
      </c>
      <c r="J110" s="420"/>
      <c r="K110" s="425" t="s">
        <v>169</v>
      </c>
      <c r="L110" s="420"/>
      <c r="M110" s="425" t="s">
        <v>169</v>
      </c>
      <c r="N110" s="420"/>
      <c r="O110" s="425" t="s">
        <v>169</v>
      </c>
      <c r="P110" s="420"/>
      <c r="Q110" s="425" t="s">
        <v>169</v>
      </c>
      <c r="R110" s="420"/>
      <c r="S110" s="425" t="s">
        <v>169</v>
      </c>
      <c r="T110" s="420"/>
      <c r="U110" s="425" t="s">
        <v>169</v>
      </c>
      <c r="V110" s="420"/>
      <c r="W110" s="425" t="s">
        <v>169</v>
      </c>
      <c r="X110" s="420"/>
      <c r="Y110" s="425" t="s">
        <v>169</v>
      </c>
      <c r="Z110" s="420"/>
      <c r="AA110" s="425" t="s">
        <v>169</v>
      </c>
      <c r="AB110" s="420"/>
      <c r="AC110" s="426" t="s">
        <v>169</v>
      </c>
      <c r="AD110" s="427"/>
      <c r="AE110" s="453"/>
      <c r="AF110" s="453"/>
      <c r="AG110" s="453"/>
      <c r="AH110" s="455"/>
      <c r="AI110" s="91"/>
      <c r="AJ110" s="458"/>
      <c r="AK110" s="459"/>
      <c r="AL110" s="84"/>
    </row>
    <row r="111" spans="1:38" ht="15.75" customHeight="1">
      <c r="A111" s="88"/>
      <c r="B111" s="63"/>
      <c r="C111" s="120" t="s">
        <v>412</v>
      </c>
      <c r="D111" s="370" t="s">
        <v>335</v>
      </c>
      <c r="E111" s="371"/>
      <c r="F111" s="371"/>
      <c r="G111" s="371"/>
      <c r="H111" s="372"/>
      <c r="I111" s="421"/>
      <c r="J111" s="422"/>
      <c r="K111" s="421"/>
      <c r="L111" s="422"/>
      <c r="M111" s="421"/>
      <c r="N111" s="422"/>
      <c r="O111" s="421"/>
      <c r="P111" s="422"/>
      <c r="Q111" s="421"/>
      <c r="R111" s="422"/>
      <c r="S111" s="421"/>
      <c r="T111" s="422"/>
      <c r="U111" s="421"/>
      <c r="V111" s="422"/>
      <c r="W111" s="421"/>
      <c r="X111" s="422"/>
      <c r="Y111" s="421"/>
      <c r="Z111" s="422"/>
      <c r="AA111" s="421"/>
      <c r="AB111" s="422"/>
      <c r="AC111" s="423"/>
      <c r="AD111" s="424"/>
      <c r="AE111" s="92"/>
      <c r="AF111" s="92"/>
      <c r="AG111" s="92"/>
      <c r="AH111" s="93"/>
      <c r="AI111" s="94"/>
      <c r="AJ111" s="94"/>
      <c r="AK111" s="94"/>
      <c r="AL111" s="84"/>
    </row>
    <row r="112" spans="1:38" ht="15.75" customHeight="1">
      <c r="A112" s="95">
        <v>1</v>
      </c>
      <c r="B112" s="119">
        <v>1</v>
      </c>
      <c r="C112" s="122" t="s">
        <v>585</v>
      </c>
      <c r="D112" s="122" t="s">
        <v>20</v>
      </c>
      <c r="E112" s="421"/>
      <c r="F112" s="422"/>
      <c r="G112" s="421"/>
      <c r="H112" s="422"/>
      <c r="I112" s="421"/>
      <c r="J112" s="422"/>
      <c r="K112" s="421"/>
      <c r="L112" s="422"/>
      <c r="M112" s="421"/>
      <c r="N112" s="422"/>
      <c r="O112" s="421"/>
      <c r="P112" s="422"/>
      <c r="Q112" s="421"/>
      <c r="R112" s="422"/>
      <c r="S112" s="421"/>
      <c r="T112" s="422"/>
      <c r="U112" s="421"/>
      <c r="V112" s="422"/>
      <c r="W112" s="421"/>
      <c r="X112" s="422"/>
      <c r="Y112" s="421"/>
      <c r="Z112" s="422"/>
      <c r="AA112" s="421"/>
      <c r="AB112" s="422"/>
      <c r="AC112" s="423"/>
      <c r="AD112" s="424"/>
      <c r="AE112" s="92"/>
      <c r="AF112" s="92"/>
      <c r="AG112" s="92"/>
      <c r="AH112" s="96"/>
      <c r="AI112" s="94"/>
      <c r="AJ112" s="94"/>
      <c r="AK112" s="94"/>
      <c r="AL112" s="84"/>
    </row>
    <row r="113" spans="1:38" ht="15.75" customHeight="1">
      <c r="A113" s="95">
        <v>2</v>
      </c>
      <c r="B113" s="119">
        <v>3</v>
      </c>
      <c r="C113" s="122" t="s">
        <v>586</v>
      </c>
      <c r="D113" s="122" t="s">
        <v>16</v>
      </c>
      <c r="E113" s="421"/>
      <c r="F113" s="422"/>
      <c r="G113" s="421"/>
      <c r="H113" s="422"/>
      <c r="I113" s="421"/>
      <c r="J113" s="422"/>
      <c r="K113" s="421"/>
      <c r="L113" s="422"/>
      <c r="M113" s="421"/>
      <c r="N113" s="422"/>
      <c r="O113" s="421"/>
      <c r="P113" s="422"/>
      <c r="Q113" s="421"/>
      <c r="R113" s="422"/>
      <c r="S113" s="421"/>
      <c r="T113" s="422"/>
      <c r="U113" s="421"/>
      <c r="V113" s="422"/>
      <c r="W113" s="421"/>
      <c r="X113" s="422"/>
      <c r="Y113" s="421"/>
      <c r="Z113" s="422"/>
      <c r="AA113" s="421"/>
      <c r="AB113" s="422"/>
      <c r="AC113" s="423"/>
      <c r="AD113" s="424"/>
      <c r="AE113" s="92"/>
      <c r="AF113" s="92"/>
      <c r="AG113" s="92"/>
      <c r="AH113" s="96"/>
      <c r="AI113" s="94"/>
      <c r="AJ113" s="94"/>
      <c r="AK113" s="94"/>
      <c r="AL113" s="84"/>
    </row>
    <row r="114" spans="1:38" ht="15.75" customHeight="1">
      <c r="A114" s="95">
        <v>3</v>
      </c>
      <c r="B114" s="119">
        <v>4</v>
      </c>
      <c r="C114" s="122" t="s">
        <v>587</v>
      </c>
      <c r="D114" s="122" t="s">
        <v>16</v>
      </c>
      <c r="E114" s="421"/>
      <c r="F114" s="422"/>
      <c r="G114" s="421"/>
      <c r="H114" s="422"/>
      <c r="I114" s="421"/>
      <c r="J114" s="422"/>
      <c r="K114" s="421"/>
      <c r="L114" s="422"/>
      <c r="M114" s="421"/>
      <c r="N114" s="422"/>
      <c r="O114" s="421"/>
      <c r="P114" s="422"/>
      <c r="Q114" s="421"/>
      <c r="R114" s="422"/>
      <c r="S114" s="421"/>
      <c r="T114" s="422"/>
      <c r="U114" s="421"/>
      <c r="V114" s="422"/>
      <c r="W114" s="421"/>
      <c r="X114" s="422"/>
      <c r="Y114" s="421"/>
      <c r="Z114" s="422"/>
      <c r="AA114" s="421"/>
      <c r="AB114" s="422"/>
      <c r="AC114" s="423"/>
      <c r="AD114" s="424"/>
      <c r="AE114" s="92"/>
      <c r="AF114" s="92"/>
      <c r="AG114" s="92"/>
      <c r="AH114" s="96"/>
      <c r="AI114" s="94"/>
      <c r="AJ114" s="94"/>
      <c r="AK114" s="94"/>
      <c r="AL114" s="84"/>
    </row>
    <row r="115" spans="1:38" ht="15.75" customHeight="1">
      <c r="A115" s="95">
        <v>4</v>
      </c>
      <c r="B115" s="119">
        <v>5</v>
      </c>
      <c r="C115" s="122" t="s">
        <v>588</v>
      </c>
      <c r="D115" s="122" t="s">
        <v>18</v>
      </c>
      <c r="E115" s="421"/>
      <c r="F115" s="422"/>
      <c r="G115" s="421"/>
      <c r="H115" s="422"/>
      <c r="I115" s="421"/>
      <c r="J115" s="422"/>
      <c r="K115" s="421"/>
      <c r="L115" s="422"/>
      <c r="M115" s="421"/>
      <c r="N115" s="422"/>
      <c r="O115" s="421"/>
      <c r="P115" s="422"/>
      <c r="Q115" s="421"/>
      <c r="R115" s="422"/>
      <c r="S115" s="421"/>
      <c r="T115" s="422"/>
      <c r="U115" s="421"/>
      <c r="V115" s="422"/>
      <c r="W115" s="421"/>
      <c r="X115" s="422"/>
      <c r="Y115" s="421"/>
      <c r="Z115" s="422"/>
      <c r="AA115" s="421"/>
      <c r="AB115" s="422"/>
      <c r="AC115" s="423"/>
      <c r="AD115" s="424"/>
      <c r="AE115" s="92"/>
      <c r="AF115" s="92"/>
      <c r="AG115" s="92"/>
      <c r="AH115" s="96"/>
      <c r="AI115" s="94"/>
      <c r="AJ115" s="94"/>
      <c r="AK115" s="94"/>
      <c r="AL115" s="84"/>
    </row>
    <row r="116" spans="1:38" ht="15.75" customHeight="1">
      <c r="A116" s="95">
        <v>5</v>
      </c>
      <c r="B116" s="119">
        <v>6</v>
      </c>
      <c r="C116" s="122" t="s">
        <v>589</v>
      </c>
      <c r="D116" s="122" t="s">
        <v>18</v>
      </c>
      <c r="E116" s="421"/>
      <c r="F116" s="422"/>
      <c r="G116" s="421"/>
      <c r="H116" s="422"/>
      <c r="I116" s="421"/>
      <c r="J116" s="422"/>
      <c r="K116" s="421"/>
      <c r="L116" s="422"/>
      <c r="M116" s="421"/>
      <c r="N116" s="422"/>
      <c r="O116" s="421"/>
      <c r="P116" s="422"/>
      <c r="Q116" s="421"/>
      <c r="R116" s="422"/>
      <c r="S116" s="421"/>
      <c r="T116" s="422"/>
      <c r="U116" s="421"/>
      <c r="V116" s="422"/>
      <c r="W116" s="421"/>
      <c r="X116" s="422"/>
      <c r="Y116" s="421"/>
      <c r="Z116" s="422"/>
      <c r="AA116" s="421"/>
      <c r="AB116" s="422"/>
      <c r="AC116" s="423"/>
      <c r="AD116" s="424"/>
      <c r="AE116" s="92"/>
      <c r="AF116" s="92"/>
      <c r="AG116" s="92"/>
      <c r="AH116" s="96"/>
      <c r="AI116" s="94"/>
      <c r="AJ116" s="94"/>
      <c r="AK116" s="94"/>
      <c r="AL116" s="84"/>
    </row>
    <row r="117" spans="1:38" ht="15.75" customHeight="1">
      <c r="A117" s="95">
        <v>6</v>
      </c>
      <c r="B117" s="119">
        <v>7</v>
      </c>
      <c r="C117" s="122" t="s">
        <v>590</v>
      </c>
      <c r="D117" s="122" t="s">
        <v>22</v>
      </c>
      <c r="E117" s="421"/>
      <c r="F117" s="422"/>
      <c r="G117" s="421"/>
      <c r="H117" s="422"/>
      <c r="I117" s="421"/>
      <c r="J117" s="422"/>
      <c r="K117" s="421"/>
      <c r="L117" s="422"/>
      <c r="M117" s="421"/>
      <c r="N117" s="422"/>
      <c r="O117" s="421"/>
      <c r="P117" s="422"/>
      <c r="Q117" s="421"/>
      <c r="R117" s="422"/>
      <c r="S117" s="421"/>
      <c r="T117" s="422"/>
      <c r="U117" s="421"/>
      <c r="V117" s="422"/>
      <c r="W117" s="421"/>
      <c r="X117" s="422"/>
      <c r="Y117" s="421"/>
      <c r="Z117" s="422"/>
      <c r="AA117" s="421"/>
      <c r="AB117" s="422"/>
      <c r="AC117" s="423"/>
      <c r="AD117" s="424"/>
      <c r="AE117" s="92"/>
      <c r="AF117" s="92"/>
      <c r="AG117" s="92"/>
      <c r="AH117" s="96"/>
      <c r="AI117" s="94"/>
      <c r="AJ117" s="94"/>
      <c r="AK117" s="94"/>
      <c r="AL117" s="84"/>
    </row>
    <row r="118" spans="1:38" ht="15.75" customHeight="1">
      <c r="A118" s="95">
        <v>7</v>
      </c>
      <c r="B118" s="119">
        <v>9</v>
      </c>
      <c r="C118" s="122" t="s">
        <v>591</v>
      </c>
      <c r="D118" s="122" t="s">
        <v>92</v>
      </c>
      <c r="E118" s="421"/>
      <c r="F118" s="422"/>
      <c r="G118" s="421"/>
      <c r="H118" s="422"/>
      <c r="I118" s="421"/>
      <c r="J118" s="422"/>
      <c r="K118" s="421"/>
      <c r="L118" s="422"/>
      <c r="M118" s="421"/>
      <c r="N118" s="422"/>
      <c r="O118" s="421"/>
      <c r="P118" s="422"/>
      <c r="Q118" s="421"/>
      <c r="R118" s="422"/>
      <c r="S118" s="421"/>
      <c r="T118" s="422"/>
      <c r="U118" s="421"/>
      <c r="V118" s="422"/>
      <c r="W118" s="421"/>
      <c r="X118" s="422"/>
      <c r="Y118" s="421"/>
      <c r="Z118" s="422"/>
      <c r="AA118" s="421"/>
      <c r="AB118" s="422"/>
      <c r="AC118" s="423"/>
      <c r="AD118" s="424"/>
      <c r="AE118" s="92"/>
      <c r="AF118" s="92"/>
      <c r="AG118" s="92"/>
      <c r="AH118" s="96"/>
      <c r="AI118" s="94"/>
      <c r="AJ118" s="94"/>
      <c r="AK118" s="94"/>
      <c r="AL118" s="84"/>
    </row>
    <row r="119" spans="1:38" ht="15.75" customHeight="1">
      <c r="A119" s="95">
        <v>8</v>
      </c>
      <c r="B119" s="119">
        <v>10</v>
      </c>
      <c r="C119" s="122" t="s">
        <v>592</v>
      </c>
      <c r="D119" s="122" t="s">
        <v>92</v>
      </c>
      <c r="E119" s="421"/>
      <c r="F119" s="422"/>
      <c r="G119" s="421"/>
      <c r="H119" s="422"/>
      <c r="I119" s="421"/>
      <c r="J119" s="422"/>
      <c r="K119" s="421"/>
      <c r="L119" s="422"/>
      <c r="M119" s="421"/>
      <c r="N119" s="422"/>
      <c r="O119" s="421"/>
      <c r="P119" s="422"/>
      <c r="Q119" s="421"/>
      <c r="R119" s="422"/>
      <c r="S119" s="421"/>
      <c r="T119" s="422"/>
      <c r="U119" s="421"/>
      <c r="V119" s="422"/>
      <c r="W119" s="421"/>
      <c r="X119" s="422"/>
      <c r="Y119" s="421"/>
      <c r="Z119" s="422"/>
      <c r="AA119" s="421"/>
      <c r="AB119" s="422"/>
      <c r="AC119" s="423"/>
      <c r="AD119" s="424"/>
      <c r="AE119" s="92"/>
      <c r="AF119" s="92"/>
      <c r="AG119" s="92"/>
      <c r="AH119" s="96"/>
      <c r="AI119" s="94"/>
      <c r="AJ119" s="94"/>
      <c r="AK119" s="94"/>
      <c r="AL119" s="84"/>
    </row>
    <row r="120" spans="1:38" ht="15.75" customHeight="1">
      <c r="A120" s="95">
        <v>9</v>
      </c>
      <c r="B120" s="119">
        <v>11</v>
      </c>
      <c r="C120" s="122" t="s">
        <v>593</v>
      </c>
      <c r="D120" s="122" t="s">
        <v>19</v>
      </c>
      <c r="E120" s="421"/>
      <c r="F120" s="422"/>
      <c r="G120" s="421"/>
      <c r="H120" s="422"/>
      <c r="I120" s="421"/>
      <c r="J120" s="422"/>
      <c r="K120" s="421"/>
      <c r="L120" s="422"/>
      <c r="M120" s="421"/>
      <c r="N120" s="422"/>
      <c r="O120" s="421"/>
      <c r="P120" s="422"/>
      <c r="Q120" s="421"/>
      <c r="R120" s="422"/>
      <c r="S120" s="421"/>
      <c r="T120" s="422"/>
      <c r="U120" s="421"/>
      <c r="V120" s="422"/>
      <c r="W120" s="421"/>
      <c r="X120" s="422"/>
      <c r="Y120" s="421"/>
      <c r="Z120" s="422"/>
      <c r="AA120" s="421"/>
      <c r="AB120" s="422"/>
      <c r="AC120" s="423"/>
      <c r="AD120" s="424"/>
      <c r="AE120" s="92"/>
      <c r="AF120" s="92"/>
      <c r="AG120" s="92"/>
      <c r="AH120" s="96"/>
      <c r="AI120" s="94"/>
      <c r="AJ120" s="94"/>
      <c r="AK120" s="94"/>
      <c r="AL120" s="84"/>
    </row>
    <row r="121" spans="1:38" ht="15.75" customHeight="1">
      <c r="A121" s="95">
        <v>10</v>
      </c>
      <c r="B121" s="119">
        <v>12</v>
      </c>
      <c r="C121" s="122" t="s">
        <v>594</v>
      </c>
      <c r="D121" s="122" t="s">
        <v>19</v>
      </c>
      <c r="E121" s="421"/>
      <c r="F121" s="422"/>
      <c r="G121" s="421"/>
      <c r="H121" s="422"/>
      <c r="I121" s="421"/>
      <c r="J121" s="422"/>
      <c r="K121" s="421"/>
      <c r="L121" s="422"/>
      <c r="M121" s="421"/>
      <c r="N121" s="422"/>
      <c r="O121" s="421"/>
      <c r="P121" s="422"/>
      <c r="Q121" s="421"/>
      <c r="R121" s="422"/>
      <c r="S121" s="421"/>
      <c r="T121" s="422"/>
      <c r="U121" s="421"/>
      <c r="V121" s="422"/>
      <c r="W121" s="421"/>
      <c r="X121" s="422"/>
      <c r="Y121" s="421"/>
      <c r="Z121" s="422"/>
      <c r="AA121" s="421"/>
      <c r="AB121" s="422"/>
      <c r="AC121" s="423"/>
      <c r="AD121" s="424"/>
      <c r="AE121" s="92"/>
      <c r="AF121" s="92"/>
      <c r="AG121" s="92"/>
      <c r="AH121" s="96"/>
      <c r="AI121" s="94"/>
      <c r="AJ121" s="94"/>
      <c r="AK121" s="94"/>
      <c r="AL121" s="84"/>
    </row>
    <row r="122" spans="1:38" ht="15.75" customHeight="1">
      <c r="A122" s="95"/>
      <c r="B122" s="119"/>
      <c r="C122" s="122"/>
      <c r="D122" s="119"/>
      <c r="E122" s="421"/>
      <c r="F122" s="422"/>
      <c r="G122" s="421"/>
      <c r="H122" s="422"/>
      <c r="I122" s="421"/>
      <c r="J122" s="422"/>
      <c r="K122" s="421"/>
      <c r="L122" s="422"/>
      <c r="M122" s="421"/>
      <c r="N122" s="422"/>
      <c r="O122" s="421"/>
      <c r="P122" s="422"/>
      <c r="Q122" s="421"/>
      <c r="R122" s="422"/>
      <c r="S122" s="421"/>
      <c r="T122" s="422"/>
      <c r="U122" s="421"/>
      <c r="V122" s="422"/>
      <c r="W122" s="421"/>
      <c r="X122" s="422"/>
      <c r="Y122" s="421"/>
      <c r="Z122" s="422"/>
      <c r="AA122" s="421"/>
      <c r="AB122" s="422"/>
      <c r="AC122" s="423"/>
      <c r="AD122" s="424"/>
      <c r="AE122" s="92"/>
      <c r="AF122" s="92"/>
      <c r="AG122" s="92"/>
      <c r="AH122" s="96"/>
      <c r="AI122" s="94"/>
      <c r="AJ122" s="94"/>
      <c r="AK122" s="94"/>
      <c r="AL122" s="84"/>
    </row>
    <row r="123" spans="1:38" ht="15.75" customHeight="1">
      <c r="A123" s="95"/>
      <c r="B123" s="119"/>
      <c r="C123" s="119"/>
      <c r="D123" s="119"/>
      <c r="E123" s="421"/>
      <c r="F123" s="422"/>
      <c r="G123" s="421"/>
      <c r="H123" s="422"/>
      <c r="I123" s="421"/>
      <c r="J123" s="422"/>
      <c r="K123" s="421"/>
      <c r="L123" s="422"/>
      <c r="M123" s="421"/>
      <c r="N123" s="422"/>
      <c r="O123" s="421"/>
      <c r="P123" s="422"/>
      <c r="Q123" s="421"/>
      <c r="R123" s="422"/>
      <c r="S123" s="421"/>
      <c r="T123" s="422"/>
      <c r="U123" s="421"/>
      <c r="V123" s="422"/>
      <c r="W123" s="421"/>
      <c r="X123" s="422"/>
      <c r="Y123" s="421"/>
      <c r="Z123" s="422"/>
      <c r="AA123" s="421"/>
      <c r="AB123" s="422"/>
      <c r="AC123" s="423"/>
      <c r="AD123" s="424"/>
      <c r="AE123" s="92"/>
      <c r="AF123" s="92"/>
      <c r="AG123" s="92"/>
      <c r="AH123" s="96"/>
      <c r="AI123" s="94"/>
      <c r="AJ123" s="94"/>
      <c r="AK123" s="94"/>
      <c r="AL123" s="84"/>
    </row>
    <row r="124" spans="1:38" ht="15.75" customHeight="1">
      <c r="A124" s="95"/>
      <c r="B124" s="119"/>
      <c r="C124" s="119"/>
      <c r="D124" s="119"/>
      <c r="E124" s="421"/>
      <c r="F124" s="422"/>
      <c r="G124" s="421"/>
      <c r="H124" s="422"/>
      <c r="I124" s="421"/>
      <c r="J124" s="422"/>
      <c r="K124" s="421"/>
      <c r="L124" s="422"/>
      <c r="M124" s="421"/>
      <c r="N124" s="422"/>
      <c r="O124" s="421"/>
      <c r="P124" s="422"/>
      <c r="Q124" s="421"/>
      <c r="R124" s="422"/>
      <c r="S124" s="421"/>
      <c r="T124" s="422"/>
      <c r="U124" s="421"/>
      <c r="V124" s="422"/>
      <c r="W124" s="421"/>
      <c r="X124" s="422"/>
      <c r="Y124" s="421"/>
      <c r="Z124" s="422"/>
      <c r="AA124" s="421"/>
      <c r="AB124" s="422"/>
      <c r="AC124" s="423"/>
      <c r="AD124" s="424"/>
      <c r="AE124" s="92"/>
      <c r="AF124" s="92"/>
      <c r="AG124" s="92"/>
      <c r="AH124" s="96"/>
      <c r="AI124" s="94"/>
      <c r="AJ124" s="94"/>
      <c r="AK124" s="94"/>
      <c r="AL124" s="84"/>
    </row>
    <row r="125" spans="1:38" ht="15.75" customHeight="1">
      <c r="A125" s="95"/>
      <c r="B125" s="119"/>
      <c r="C125" s="119"/>
      <c r="D125" s="119"/>
      <c r="E125" s="421"/>
      <c r="F125" s="422"/>
      <c r="G125" s="421"/>
      <c r="H125" s="422"/>
      <c r="I125" s="421"/>
      <c r="J125" s="422"/>
      <c r="K125" s="421"/>
      <c r="L125" s="422"/>
      <c r="M125" s="421"/>
      <c r="N125" s="422"/>
      <c r="O125" s="421"/>
      <c r="P125" s="422"/>
      <c r="Q125" s="421"/>
      <c r="R125" s="422"/>
      <c r="S125" s="421"/>
      <c r="T125" s="422"/>
      <c r="U125" s="421"/>
      <c r="V125" s="422"/>
      <c r="W125" s="421"/>
      <c r="X125" s="422"/>
      <c r="Y125" s="421"/>
      <c r="Z125" s="422"/>
      <c r="AA125" s="421"/>
      <c r="AB125" s="422"/>
      <c r="AC125" s="423"/>
      <c r="AD125" s="424"/>
      <c r="AE125" s="92"/>
      <c r="AF125" s="92"/>
      <c r="AG125" s="92"/>
      <c r="AH125" s="93"/>
      <c r="AI125" s="94"/>
      <c r="AJ125" s="94"/>
      <c r="AK125" s="94"/>
      <c r="AL125" s="84"/>
    </row>
    <row r="126" spans="1:38" ht="15.75" customHeight="1">
      <c r="A126" s="95"/>
      <c r="B126" s="119"/>
      <c r="C126" s="119"/>
      <c r="D126" s="119"/>
      <c r="E126" s="421"/>
      <c r="F126" s="422"/>
      <c r="G126" s="421"/>
      <c r="H126" s="422"/>
      <c r="I126" s="421"/>
      <c r="J126" s="422"/>
      <c r="K126" s="421"/>
      <c r="L126" s="422"/>
      <c r="M126" s="421"/>
      <c r="N126" s="422"/>
      <c r="O126" s="421"/>
      <c r="P126" s="422"/>
      <c r="Q126" s="421"/>
      <c r="R126" s="422"/>
      <c r="S126" s="421"/>
      <c r="T126" s="422"/>
      <c r="U126" s="421"/>
      <c r="V126" s="422"/>
      <c r="W126" s="421"/>
      <c r="X126" s="422"/>
      <c r="Y126" s="421"/>
      <c r="Z126" s="422"/>
      <c r="AA126" s="421"/>
      <c r="AB126" s="422"/>
      <c r="AC126" s="423"/>
      <c r="AD126" s="424"/>
      <c r="AE126" s="92"/>
      <c r="AF126" s="92"/>
      <c r="AG126" s="92"/>
      <c r="AH126" s="93"/>
      <c r="AI126" s="94"/>
      <c r="AJ126" s="94"/>
      <c r="AK126" s="94"/>
      <c r="AL126" s="84"/>
    </row>
    <row r="127" spans="1:38" ht="12.7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9"/>
      <c r="AD127" s="99"/>
      <c r="AE127" s="98"/>
      <c r="AF127" s="98"/>
      <c r="AG127" s="98"/>
      <c r="AH127" s="98"/>
      <c r="AI127" s="98"/>
      <c r="AJ127" s="98"/>
      <c r="AK127" s="98"/>
      <c r="AL127" s="84"/>
    </row>
    <row r="128" spans="1:38" ht="12.75">
      <c r="A128" s="411" t="s">
        <v>172</v>
      </c>
      <c r="B128" s="417"/>
      <c r="C128" s="417"/>
      <c r="D128" s="417"/>
      <c r="E128" s="417"/>
      <c r="F128" s="418"/>
      <c r="G128" s="411" t="s">
        <v>172</v>
      </c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8"/>
      <c r="Y128" s="416" t="s">
        <v>173</v>
      </c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K128" s="418"/>
      <c r="AL128" s="84"/>
    </row>
    <row r="129" spans="1:38" ht="12.75">
      <c r="A129" s="95" t="s">
        <v>0</v>
      </c>
      <c r="B129" s="95" t="s">
        <v>174</v>
      </c>
      <c r="C129" s="95" t="s">
        <v>156</v>
      </c>
      <c r="D129" s="95" t="s">
        <v>157</v>
      </c>
      <c r="E129" s="416" t="s">
        <v>183</v>
      </c>
      <c r="F129" s="418"/>
      <c r="G129" s="416" t="s">
        <v>0</v>
      </c>
      <c r="H129" s="419"/>
      <c r="I129" s="416" t="s">
        <v>174</v>
      </c>
      <c r="J129" s="418"/>
      <c r="K129" s="416" t="s">
        <v>156</v>
      </c>
      <c r="L129" s="417"/>
      <c r="M129" s="417"/>
      <c r="N129" s="417"/>
      <c r="O129" s="417"/>
      <c r="P129" s="417"/>
      <c r="Q129" s="420" t="s">
        <v>157</v>
      </c>
      <c r="R129" s="417"/>
      <c r="S129" s="417"/>
      <c r="T129" s="417"/>
      <c r="U129" s="417"/>
      <c r="V129" s="418"/>
      <c r="W129" s="416" t="s">
        <v>183</v>
      </c>
      <c r="X129" s="418"/>
      <c r="Y129" s="100"/>
      <c r="Z129" s="101"/>
      <c r="AA129" s="101"/>
      <c r="AB129" s="101"/>
      <c r="AC129" s="102"/>
      <c r="AD129" s="102"/>
      <c r="AE129" s="81"/>
      <c r="AF129" s="81"/>
      <c r="AG129" s="103"/>
      <c r="AH129" s="103"/>
      <c r="AI129" s="103"/>
      <c r="AJ129" s="103"/>
      <c r="AK129" s="104"/>
      <c r="AL129" s="84"/>
    </row>
    <row r="130" spans="1:38" ht="16.5" customHeight="1">
      <c r="A130" s="106">
        <v>1</v>
      </c>
      <c r="B130" s="106"/>
      <c r="C130" s="107"/>
      <c r="D130" s="107"/>
      <c r="E130" s="407"/>
      <c r="F130" s="408"/>
      <c r="G130" s="409">
        <v>9</v>
      </c>
      <c r="H130" s="410">
        <f aca="true" t="shared" si="3" ref="H130:H137">IF(ISERROR(VLOOKUP(G130,$C$6:$AR$21,31,FALSE))=TRUE,"",CONCATENATE(VLOOKUP(G130,$C$6:$AR$21,38,FALSE),VLOOKUP(G130,$C$6:$AR$21,42,FALSE)))</f>
      </c>
      <c r="I130" s="411"/>
      <c r="J130" s="412"/>
      <c r="K130" s="413"/>
      <c r="L130" s="414"/>
      <c r="M130" s="414"/>
      <c r="N130" s="414"/>
      <c r="O130" s="414"/>
      <c r="P130" s="415"/>
      <c r="Q130" s="413"/>
      <c r="R130" s="414"/>
      <c r="S130" s="414"/>
      <c r="T130" s="414"/>
      <c r="U130" s="414"/>
      <c r="V130" s="415"/>
      <c r="W130" s="407"/>
      <c r="X130" s="408"/>
      <c r="Y130" s="108"/>
      <c r="Z130" s="109"/>
      <c r="AA130" s="109"/>
      <c r="AB130" s="109"/>
      <c r="AC130" s="110"/>
      <c r="AD130" s="110"/>
      <c r="AE130" s="109"/>
      <c r="AF130" s="109"/>
      <c r="AG130" s="109"/>
      <c r="AH130" s="111"/>
      <c r="AI130" s="111"/>
      <c r="AJ130" s="111"/>
      <c r="AK130" s="112"/>
      <c r="AL130" s="84"/>
    </row>
    <row r="131" spans="1:38" ht="16.5" customHeight="1">
      <c r="A131" s="106">
        <v>2</v>
      </c>
      <c r="B131" s="106"/>
      <c r="C131" s="107"/>
      <c r="D131" s="107"/>
      <c r="E131" s="407"/>
      <c r="F131" s="408"/>
      <c r="G131" s="409">
        <v>10</v>
      </c>
      <c r="H131" s="410">
        <f t="shared" si="3"/>
      </c>
      <c r="I131" s="411"/>
      <c r="J131" s="412"/>
      <c r="K131" s="413"/>
      <c r="L131" s="414"/>
      <c r="M131" s="414"/>
      <c r="N131" s="414"/>
      <c r="O131" s="414"/>
      <c r="P131" s="415"/>
      <c r="Q131" s="413"/>
      <c r="R131" s="414"/>
      <c r="S131" s="414"/>
      <c r="T131" s="414"/>
      <c r="U131" s="414"/>
      <c r="V131" s="415"/>
      <c r="W131" s="407"/>
      <c r="X131" s="408"/>
      <c r="Y131" s="113"/>
      <c r="Z131" s="105"/>
      <c r="AA131" s="105"/>
      <c r="AB131" s="105"/>
      <c r="AC131" s="114"/>
      <c r="AD131" s="114"/>
      <c r="AE131" s="105"/>
      <c r="AF131" s="105"/>
      <c r="AG131" s="105"/>
      <c r="AH131" s="84"/>
      <c r="AI131" s="84"/>
      <c r="AJ131" s="84"/>
      <c r="AK131" s="115"/>
      <c r="AL131" s="84"/>
    </row>
    <row r="132" spans="1:38" ht="16.5" customHeight="1">
      <c r="A132" s="106">
        <v>3</v>
      </c>
      <c r="B132" s="106"/>
      <c r="C132" s="107"/>
      <c r="D132" s="107"/>
      <c r="E132" s="407"/>
      <c r="F132" s="408"/>
      <c r="G132" s="409">
        <v>11</v>
      </c>
      <c r="H132" s="410">
        <f t="shared" si="3"/>
      </c>
      <c r="I132" s="411"/>
      <c r="J132" s="412"/>
      <c r="K132" s="413"/>
      <c r="L132" s="414"/>
      <c r="M132" s="414"/>
      <c r="N132" s="414"/>
      <c r="O132" s="414"/>
      <c r="P132" s="415"/>
      <c r="Q132" s="413"/>
      <c r="R132" s="414"/>
      <c r="S132" s="414"/>
      <c r="T132" s="414"/>
      <c r="U132" s="414"/>
      <c r="V132" s="415"/>
      <c r="W132" s="407"/>
      <c r="X132" s="408"/>
      <c r="Y132" s="113"/>
      <c r="Z132" s="105"/>
      <c r="AA132" s="105"/>
      <c r="AB132" s="105"/>
      <c r="AC132" s="114"/>
      <c r="AD132" s="114"/>
      <c r="AE132" s="105"/>
      <c r="AF132" s="105"/>
      <c r="AG132" s="105"/>
      <c r="AH132" s="84"/>
      <c r="AI132" s="84"/>
      <c r="AJ132" s="84"/>
      <c r="AK132" s="115"/>
      <c r="AL132" s="84"/>
    </row>
    <row r="133" spans="1:38" ht="16.5" customHeight="1">
      <c r="A133" s="106">
        <v>4</v>
      </c>
      <c r="B133" s="106"/>
      <c r="C133" s="107"/>
      <c r="D133" s="107"/>
      <c r="E133" s="407"/>
      <c r="F133" s="408"/>
      <c r="G133" s="409">
        <v>12</v>
      </c>
      <c r="H133" s="410">
        <f t="shared" si="3"/>
      </c>
      <c r="I133" s="411"/>
      <c r="J133" s="412"/>
      <c r="K133" s="413"/>
      <c r="L133" s="414"/>
      <c r="M133" s="414"/>
      <c r="N133" s="414"/>
      <c r="O133" s="414"/>
      <c r="P133" s="415"/>
      <c r="Q133" s="413"/>
      <c r="R133" s="414"/>
      <c r="S133" s="414"/>
      <c r="T133" s="414"/>
      <c r="U133" s="414"/>
      <c r="V133" s="415"/>
      <c r="W133" s="407"/>
      <c r="X133" s="408"/>
      <c r="Y133" s="116"/>
      <c r="Z133" s="103"/>
      <c r="AA133" s="103"/>
      <c r="AB133" s="103"/>
      <c r="AC133" s="117"/>
      <c r="AD133" s="117"/>
      <c r="AE133" s="103"/>
      <c r="AF133" s="103"/>
      <c r="AG133" s="103"/>
      <c r="AH133" s="81"/>
      <c r="AI133" s="81"/>
      <c r="AJ133" s="81"/>
      <c r="AK133" s="83"/>
      <c r="AL133" s="84"/>
    </row>
    <row r="134" spans="1:38" ht="16.5" customHeight="1">
      <c r="A134" s="106">
        <v>5</v>
      </c>
      <c r="B134" s="106"/>
      <c r="C134" s="107"/>
      <c r="D134" s="107"/>
      <c r="E134" s="407"/>
      <c r="F134" s="408"/>
      <c r="G134" s="409">
        <v>13</v>
      </c>
      <c r="H134" s="410">
        <f t="shared" si="3"/>
      </c>
      <c r="I134" s="411"/>
      <c r="J134" s="412"/>
      <c r="K134" s="413"/>
      <c r="L134" s="414"/>
      <c r="M134" s="414"/>
      <c r="N134" s="414"/>
      <c r="O134" s="414"/>
      <c r="P134" s="415"/>
      <c r="Q134" s="413"/>
      <c r="R134" s="414"/>
      <c r="S134" s="414"/>
      <c r="T134" s="414"/>
      <c r="U134" s="414"/>
      <c r="V134" s="415"/>
      <c r="W134" s="407"/>
      <c r="X134" s="408"/>
      <c r="Y134" s="108"/>
      <c r="Z134" s="109"/>
      <c r="AA134" s="109"/>
      <c r="AB134" s="109"/>
      <c r="AC134" s="110"/>
      <c r="AD134" s="110"/>
      <c r="AE134" s="109"/>
      <c r="AF134" s="109"/>
      <c r="AG134" s="109"/>
      <c r="AH134" s="111"/>
      <c r="AI134" s="111"/>
      <c r="AJ134" s="111"/>
      <c r="AK134" s="112"/>
      <c r="AL134" s="84"/>
    </row>
    <row r="135" spans="1:38" ht="16.5" customHeight="1">
      <c r="A135" s="106">
        <v>6</v>
      </c>
      <c r="B135" s="106"/>
      <c r="C135" s="107"/>
      <c r="D135" s="107"/>
      <c r="E135" s="407"/>
      <c r="F135" s="408"/>
      <c r="G135" s="409">
        <v>14</v>
      </c>
      <c r="H135" s="410">
        <f t="shared" si="3"/>
      </c>
      <c r="I135" s="411"/>
      <c r="J135" s="412"/>
      <c r="K135" s="413"/>
      <c r="L135" s="414"/>
      <c r="M135" s="414"/>
      <c r="N135" s="414"/>
      <c r="O135" s="414"/>
      <c r="P135" s="415"/>
      <c r="Q135" s="413"/>
      <c r="R135" s="414"/>
      <c r="S135" s="414"/>
      <c r="T135" s="414"/>
      <c r="U135" s="414"/>
      <c r="V135" s="415"/>
      <c r="W135" s="407"/>
      <c r="X135" s="408"/>
      <c r="Y135" s="416" t="s">
        <v>176</v>
      </c>
      <c r="Z135" s="417"/>
      <c r="AA135" s="417"/>
      <c r="AB135" s="417"/>
      <c r="AC135" s="417"/>
      <c r="AD135" s="417"/>
      <c r="AE135" s="417"/>
      <c r="AF135" s="417"/>
      <c r="AG135" s="417"/>
      <c r="AH135" s="417"/>
      <c r="AI135" s="417"/>
      <c r="AJ135" s="417"/>
      <c r="AK135" s="418"/>
      <c r="AL135" s="84"/>
    </row>
    <row r="136" spans="1:38" ht="16.5" customHeight="1">
      <c r="A136" s="106">
        <v>7</v>
      </c>
      <c r="B136" s="106"/>
      <c r="C136" s="107"/>
      <c r="D136" s="107"/>
      <c r="E136" s="407"/>
      <c r="F136" s="408"/>
      <c r="G136" s="409">
        <v>15</v>
      </c>
      <c r="H136" s="410">
        <f t="shared" si="3"/>
      </c>
      <c r="I136" s="411"/>
      <c r="J136" s="412"/>
      <c r="K136" s="413"/>
      <c r="L136" s="414"/>
      <c r="M136" s="414"/>
      <c r="N136" s="414"/>
      <c r="O136" s="414"/>
      <c r="P136" s="415"/>
      <c r="Q136" s="413"/>
      <c r="R136" s="414"/>
      <c r="S136" s="414"/>
      <c r="T136" s="414"/>
      <c r="U136" s="414"/>
      <c r="V136" s="415"/>
      <c r="W136" s="407"/>
      <c r="X136" s="408"/>
      <c r="Y136" s="116"/>
      <c r="Z136" s="103"/>
      <c r="AA136" s="103"/>
      <c r="AB136" s="103"/>
      <c r="AC136" s="117"/>
      <c r="AD136" s="82"/>
      <c r="AE136" s="81"/>
      <c r="AF136" s="81"/>
      <c r="AG136" s="81"/>
      <c r="AH136" s="81"/>
      <c r="AI136" s="81"/>
      <c r="AJ136" s="81"/>
      <c r="AK136" s="83"/>
      <c r="AL136" s="84"/>
    </row>
    <row r="137" spans="1:38" ht="16.5" customHeight="1">
      <c r="A137" s="106">
        <v>8</v>
      </c>
      <c r="B137" s="106"/>
      <c r="C137" s="107"/>
      <c r="D137" s="107"/>
      <c r="E137" s="407"/>
      <c r="F137" s="408"/>
      <c r="G137" s="409">
        <v>16</v>
      </c>
      <c r="H137" s="410">
        <f t="shared" si="3"/>
      </c>
      <c r="I137" s="411"/>
      <c r="J137" s="412"/>
      <c r="K137" s="413"/>
      <c r="L137" s="414"/>
      <c r="M137" s="414"/>
      <c r="N137" s="414"/>
      <c r="O137" s="414"/>
      <c r="P137" s="415"/>
      <c r="Q137" s="413"/>
      <c r="R137" s="414"/>
      <c r="S137" s="414"/>
      <c r="T137" s="414"/>
      <c r="U137" s="414"/>
      <c r="V137" s="415"/>
      <c r="W137" s="407"/>
      <c r="X137" s="408"/>
      <c r="Y137" s="108"/>
      <c r="Z137" s="109"/>
      <c r="AA137" s="109"/>
      <c r="AB137" s="109"/>
      <c r="AC137" s="110"/>
      <c r="AD137" s="118"/>
      <c r="AE137" s="111"/>
      <c r="AF137" s="111"/>
      <c r="AG137" s="111"/>
      <c r="AH137" s="111"/>
      <c r="AI137" s="111"/>
      <c r="AJ137" s="111"/>
      <c r="AK137" s="112"/>
      <c r="AL137" s="84"/>
    </row>
    <row r="138" spans="1:38" ht="16.5" customHeight="1">
      <c r="A138" s="223"/>
      <c r="B138" s="219"/>
      <c r="C138" s="220"/>
      <c r="D138" s="220"/>
      <c r="E138" s="221"/>
      <c r="F138" s="221"/>
      <c r="G138" s="218"/>
      <c r="H138" s="218"/>
      <c r="I138" s="219"/>
      <c r="J138" s="219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1"/>
      <c r="X138" s="221"/>
      <c r="Y138" s="105"/>
      <c r="Z138" s="105"/>
      <c r="AA138" s="105"/>
      <c r="AB138" s="105"/>
      <c r="AC138" s="114"/>
      <c r="AD138" s="222"/>
      <c r="AE138" s="84"/>
      <c r="AF138" s="84"/>
      <c r="AG138" s="84"/>
      <c r="AH138" s="84"/>
      <c r="AI138" s="84"/>
      <c r="AJ138" s="84"/>
      <c r="AK138" s="115"/>
      <c r="AL138" s="84"/>
    </row>
    <row r="139" spans="1:38" ht="16.5" customHeight="1">
      <c r="A139" s="224"/>
      <c r="B139" s="224"/>
      <c r="C139" s="225"/>
      <c r="D139" s="225"/>
      <c r="E139" s="226"/>
      <c r="F139" s="226"/>
      <c r="G139" s="227"/>
      <c r="H139" s="227"/>
      <c r="I139" s="224"/>
      <c r="J139" s="224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6"/>
      <c r="X139" s="226"/>
      <c r="Y139" s="105"/>
      <c r="Z139" s="105"/>
      <c r="AA139" s="105"/>
      <c r="AB139" s="105"/>
      <c r="AC139" s="114"/>
      <c r="AD139" s="222"/>
      <c r="AE139" s="84"/>
      <c r="AF139" s="84"/>
      <c r="AG139" s="84"/>
      <c r="AH139" s="84"/>
      <c r="AI139" s="84"/>
      <c r="AJ139" s="84"/>
      <c r="AK139" s="115"/>
      <c r="AL139" s="84"/>
    </row>
    <row r="140" spans="1:38" ht="20.25">
      <c r="A140" s="80" t="s">
        <v>178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91"/>
      <c r="AD140" s="291"/>
      <c r="AE140" s="252"/>
      <c r="AF140" s="252"/>
      <c r="AG140" s="252"/>
      <c r="AH140" s="252"/>
      <c r="AI140" s="252"/>
      <c r="AJ140" s="252"/>
      <c r="AK140" s="251"/>
      <c r="AL140" s="84"/>
    </row>
    <row r="141" spans="1:38" ht="12.75">
      <c r="A141" s="428" t="s">
        <v>148</v>
      </c>
      <c r="B141" s="429"/>
      <c r="C141" s="341" t="s">
        <v>319</v>
      </c>
      <c r="D141" s="342"/>
      <c r="E141" s="428" t="s">
        <v>149</v>
      </c>
      <c r="F141" s="430"/>
      <c r="G141" s="429"/>
      <c r="H141" s="411" t="s">
        <v>360</v>
      </c>
      <c r="I141" s="431"/>
      <c r="J141" s="431"/>
      <c r="K141" s="431"/>
      <c r="L141" s="431"/>
      <c r="M141" s="431"/>
      <c r="N141" s="431"/>
      <c r="O141" s="431"/>
      <c r="P141" s="431"/>
      <c r="Q141" s="431"/>
      <c r="R141" s="431"/>
      <c r="S141" s="431"/>
      <c r="T141" s="431"/>
      <c r="U141" s="431"/>
      <c r="V141" s="412"/>
      <c r="W141" s="428" t="s">
        <v>150</v>
      </c>
      <c r="X141" s="430"/>
      <c r="Y141" s="429"/>
      <c r="Z141" s="432" t="s">
        <v>368</v>
      </c>
      <c r="AA141" s="433"/>
      <c r="AB141" s="433"/>
      <c r="AC141" s="434"/>
      <c r="AD141" s="434"/>
      <c r="AE141" s="434"/>
      <c r="AF141" s="434"/>
      <c r="AG141" s="434"/>
      <c r="AH141" s="434"/>
      <c r="AI141" s="434"/>
      <c r="AJ141" s="434"/>
      <c r="AK141" s="435"/>
      <c r="AL141" s="84"/>
    </row>
    <row r="142" spans="1:38" ht="12.75">
      <c r="A142" s="428" t="s">
        <v>179</v>
      </c>
      <c r="B142" s="429"/>
      <c r="C142" s="377" t="s">
        <v>186</v>
      </c>
      <c r="D142" s="378"/>
      <c r="E142" s="428" t="s">
        <v>151</v>
      </c>
      <c r="F142" s="430"/>
      <c r="G142" s="429"/>
      <c r="H142" s="436" t="s">
        <v>207</v>
      </c>
      <c r="I142" s="437"/>
      <c r="J142" s="438"/>
      <c r="K142" s="428" t="s">
        <v>152</v>
      </c>
      <c r="L142" s="430"/>
      <c r="M142" s="430"/>
      <c r="N142" s="430"/>
      <c r="O142" s="430"/>
      <c r="P142" s="429"/>
      <c r="Q142" s="439"/>
      <c r="R142" s="440"/>
      <c r="S142" s="441"/>
      <c r="T142" s="442" t="s">
        <v>153</v>
      </c>
      <c r="U142" s="443"/>
      <c r="V142" s="444"/>
      <c r="W142" s="445"/>
      <c r="X142" s="446"/>
      <c r="Y142" s="446"/>
      <c r="Z142" s="446"/>
      <c r="AA142" s="446"/>
      <c r="AB142" s="446"/>
      <c r="AC142" s="446"/>
      <c r="AD142" s="446"/>
      <c r="AE142" s="446"/>
      <c r="AF142" s="446"/>
      <c r="AG142" s="446"/>
      <c r="AH142" s="446"/>
      <c r="AI142" s="446"/>
      <c r="AJ142" s="446"/>
      <c r="AK142" s="447"/>
      <c r="AL142" s="84"/>
    </row>
    <row r="143" spans="1:38" ht="12.75">
      <c r="A143" s="85" t="s">
        <v>154</v>
      </c>
      <c r="B143" s="85" t="s">
        <v>155</v>
      </c>
      <c r="C143" s="85" t="s">
        <v>156</v>
      </c>
      <c r="D143" s="86" t="s">
        <v>157</v>
      </c>
      <c r="E143" s="448"/>
      <c r="F143" s="449"/>
      <c r="G143" s="448"/>
      <c r="H143" s="449"/>
      <c r="I143" s="448"/>
      <c r="J143" s="449"/>
      <c r="K143" s="448"/>
      <c r="L143" s="449"/>
      <c r="M143" s="448"/>
      <c r="N143" s="449"/>
      <c r="O143" s="448"/>
      <c r="P143" s="449"/>
      <c r="Q143" s="448"/>
      <c r="R143" s="449"/>
      <c r="S143" s="448"/>
      <c r="T143" s="449"/>
      <c r="U143" s="448"/>
      <c r="V143" s="449"/>
      <c r="W143" s="448"/>
      <c r="X143" s="449"/>
      <c r="Y143" s="448"/>
      <c r="Z143" s="449"/>
      <c r="AA143" s="448"/>
      <c r="AB143" s="449"/>
      <c r="AC143" s="450" t="s">
        <v>166</v>
      </c>
      <c r="AD143" s="451"/>
      <c r="AE143" s="452" t="s">
        <v>180</v>
      </c>
      <c r="AF143" s="452" t="s">
        <v>181</v>
      </c>
      <c r="AG143" s="452" t="s">
        <v>182</v>
      </c>
      <c r="AH143" s="454" t="s">
        <v>167</v>
      </c>
      <c r="AI143" s="87"/>
      <c r="AJ143" s="456" t="s">
        <v>168</v>
      </c>
      <c r="AK143" s="457"/>
      <c r="AL143" s="84"/>
    </row>
    <row r="144" spans="1:38" ht="12.75">
      <c r="A144" s="88"/>
      <c r="B144" s="88"/>
      <c r="C144" s="89"/>
      <c r="D144" s="90"/>
      <c r="E144" s="425" t="s">
        <v>169</v>
      </c>
      <c r="F144" s="420"/>
      <c r="G144" s="425" t="s">
        <v>169</v>
      </c>
      <c r="H144" s="420"/>
      <c r="I144" s="425" t="s">
        <v>169</v>
      </c>
      <c r="J144" s="420"/>
      <c r="K144" s="425" t="s">
        <v>169</v>
      </c>
      <c r="L144" s="420"/>
      <c r="M144" s="425" t="s">
        <v>169</v>
      </c>
      <c r="N144" s="420"/>
      <c r="O144" s="425" t="s">
        <v>169</v>
      </c>
      <c r="P144" s="420"/>
      <c r="Q144" s="425" t="s">
        <v>169</v>
      </c>
      <c r="R144" s="420"/>
      <c r="S144" s="425" t="s">
        <v>169</v>
      </c>
      <c r="T144" s="420"/>
      <c r="U144" s="425" t="s">
        <v>169</v>
      </c>
      <c r="V144" s="420"/>
      <c r="W144" s="425" t="s">
        <v>169</v>
      </c>
      <c r="X144" s="420"/>
      <c r="Y144" s="425" t="s">
        <v>169</v>
      </c>
      <c r="Z144" s="420"/>
      <c r="AA144" s="425" t="s">
        <v>169</v>
      </c>
      <c r="AB144" s="420"/>
      <c r="AC144" s="426" t="s">
        <v>169</v>
      </c>
      <c r="AD144" s="427"/>
      <c r="AE144" s="453"/>
      <c r="AF144" s="453"/>
      <c r="AG144" s="453"/>
      <c r="AH144" s="455"/>
      <c r="AI144" s="91"/>
      <c r="AJ144" s="458"/>
      <c r="AK144" s="459"/>
      <c r="AL144" s="84"/>
    </row>
    <row r="145" spans="1:38" ht="15.75" customHeight="1">
      <c r="A145" s="88"/>
      <c r="B145" s="63"/>
      <c r="C145" s="120" t="s">
        <v>413</v>
      </c>
      <c r="D145" s="370" t="s">
        <v>321</v>
      </c>
      <c r="E145" s="371"/>
      <c r="F145" s="371"/>
      <c r="G145" s="371"/>
      <c r="H145" s="372"/>
      <c r="I145" s="421"/>
      <c r="J145" s="422"/>
      <c r="K145" s="421"/>
      <c r="L145" s="422"/>
      <c r="M145" s="421"/>
      <c r="N145" s="422"/>
      <c r="O145" s="421"/>
      <c r="P145" s="422"/>
      <c r="Q145" s="421"/>
      <c r="R145" s="422"/>
      <c r="S145" s="421"/>
      <c r="T145" s="422"/>
      <c r="U145" s="421"/>
      <c r="V145" s="422"/>
      <c r="W145" s="421"/>
      <c r="X145" s="422"/>
      <c r="Y145" s="421"/>
      <c r="Z145" s="422"/>
      <c r="AA145" s="421"/>
      <c r="AB145" s="422"/>
      <c r="AC145" s="423"/>
      <c r="AD145" s="424"/>
      <c r="AE145" s="92"/>
      <c r="AF145" s="92"/>
      <c r="AG145" s="92"/>
      <c r="AH145" s="93"/>
      <c r="AI145" s="94"/>
      <c r="AJ145" s="94"/>
      <c r="AK145" s="94"/>
      <c r="AL145" s="84"/>
    </row>
    <row r="146" spans="1:38" ht="15.75" customHeight="1">
      <c r="A146" s="95">
        <v>1</v>
      </c>
      <c r="B146" s="119">
        <v>1</v>
      </c>
      <c r="C146" s="122" t="s">
        <v>647</v>
      </c>
      <c r="D146" s="122" t="s">
        <v>20</v>
      </c>
      <c r="E146" s="421"/>
      <c r="F146" s="422"/>
      <c r="G146" s="421"/>
      <c r="H146" s="422"/>
      <c r="I146" s="421"/>
      <c r="J146" s="422"/>
      <c r="K146" s="421"/>
      <c r="L146" s="422"/>
      <c r="M146" s="421"/>
      <c r="N146" s="422"/>
      <c r="O146" s="421"/>
      <c r="P146" s="422"/>
      <c r="Q146" s="421"/>
      <c r="R146" s="422"/>
      <c r="S146" s="421"/>
      <c r="T146" s="422"/>
      <c r="U146" s="421"/>
      <c r="V146" s="422"/>
      <c r="W146" s="421"/>
      <c r="X146" s="422"/>
      <c r="Y146" s="421"/>
      <c r="Z146" s="422"/>
      <c r="AA146" s="421"/>
      <c r="AB146" s="422"/>
      <c r="AC146" s="423"/>
      <c r="AD146" s="424"/>
      <c r="AE146" s="92"/>
      <c r="AF146" s="92"/>
      <c r="AG146" s="92"/>
      <c r="AH146" s="96"/>
      <c r="AI146" s="94"/>
      <c r="AJ146" s="94"/>
      <c r="AK146" s="94"/>
      <c r="AL146" s="84"/>
    </row>
    <row r="147" spans="1:38" ht="15.75" customHeight="1">
      <c r="A147" s="95">
        <v>2</v>
      </c>
      <c r="B147" s="119">
        <v>2</v>
      </c>
      <c r="C147" s="122" t="s">
        <v>648</v>
      </c>
      <c r="D147" s="122" t="s">
        <v>20</v>
      </c>
      <c r="E147" s="421"/>
      <c r="F147" s="422"/>
      <c r="G147" s="421"/>
      <c r="H147" s="422"/>
      <c r="I147" s="421"/>
      <c r="J147" s="422"/>
      <c r="K147" s="421"/>
      <c r="L147" s="422"/>
      <c r="M147" s="421"/>
      <c r="N147" s="422"/>
      <c r="O147" s="421"/>
      <c r="P147" s="422"/>
      <c r="Q147" s="421"/>
      <c r="R147" s="422"/>
      <c r="S147" s="421"/>
      <c r="T147" s="422"/>
      <c r="U147" s="421"/>
      <c r="V147" s="422"/>
      <c r="W147" s="421"/>
      <c r="X147" s="422"/>
      <c r="Y147" s="421"/>
      <c r="Z147" s="422"/>
      <c r="AA147" s="421"/>
      <c r="AB147" s="422"/>
      <c r="AC147" s="423"/>
      <c r="AD147" s="424"/>
      <c r="AE147" s="92"/>
      <c r="AF147" s="92"/>
      <c r="AG147" s="92"/>
      <c r="AH147" s="96"/>
      <c r="AI147" s="94"/>
      <c r="AJ147" s="94"/>
      <c r="AK147" s="94"/>
      <c r="AL147" s="84"/>
    </row>
    <row r="148" spans="1:38" ht="15.75" customHeight="1">
      <c r="A148" s="95">
        <v>3</v>
      </c>
      <c r="B148" s="119">
        <v>3</v>
      </c>
      <c r="C148" s="122" t="s">
        <v>649</v>
      </c>
      <c r="D148" s="122" t="s">
        <v>16</v>
      </c>
      <c r="E148" s="421"/>
      <c r="F148" s="422"/>
      <c r="G148" s="421"/>
      <c r="H148" s="422"/>
      <c r="I148" s="421"/>
      <c r="J148" s="422"/>
      <c r="K148" s="421"/>
      <c r="L148" s="422"/>
      <c r="M148" s="421"/>
      <c r="N148" s="422"/>
      <c r="O148" s="421"/>
      <c r="P148" s="422"/>
      <c r="Q148" s="421"/>
      <c r="R148" s="422"/>
      <c r="S148" s="421"/>
      <c r="T148" s="422"/>
      <c r="U148" s="421"/>
      <c r="V148" s="422"/>
      <c r="W148" s="421"/>
      <c r="X148" s="422"/>
      <c r="Y148" s="421"/>
      <c r="Z148" s="422"/>
      <c r="AA148" s="421"/>
      <c r="AB148" s="422"/>
      <c r="AC148" s="423"/>
      <c r="AD148" s="424"/>
      <c r="AE148" s="92"/>
      <c r="AF148" s="92"/>
      <c r="AG148" s="92"/>
      <c r="AH148" s="96"/>
      <c r="AI148" s="94"/>
      <c r="AJ148" s="94"/>
      <c r="AK148" s="94"/>
      <c r="AL148" s="84"/>
    </row>
    <row r="149" spans="1:38" ht="15.75" customHeight="1">
      <c r="A149" s="95">
        <v>4</v>
      </c>
      <c r="B149" s="119">
        <v>4</v>
      </c>
      <c r="C149" s="122" t="s">
        <v>650</v>
      </c>
      <c r="D149" s="122" t="s">
        <v>16</v>
      </c>
      <c r="E149" s="421"/>
      <c r="F149" s="422"/>
      <c r="G149" s="421"/>
      <c r="H149" s="422"/>
      <c r="I149" s="421"/>
      <c r="J149" s="422"/>
      <c r="K149" s="421"/>
      <c r="L149" s="422"/>
      <c r="M149" s="421"/>
      <c r="N149" s="422"/>
      <c r="O149" s="421"/>
      <c r="P149" s="422"/>
      <c r="Q149" s="421"/>
      <c r="R149" s="422"/>
      <c r="S149" s="421"/>
      <c r="T149" s="422"/>
      <c r="U149" s="421"/>
      <c r="V149" s="422"/>
      <c r="W149" s="421"/>
      <c r="X149" s="422"/>
      <c r="Y149" s="421"/>
      <c r="Z149" s="422"/>
      <c r="AA149" s="421"/>
      <c r="AB149" s="422"/>
      <c r="AC149" s="423"/>
      <c r="AD149" s="424"/>
      <c r="AE149" s="92"/>
      <c r="AF149" s="92"/>
      <c r="AG149" s="92"/>
      <c r="AH149" s="96"/>
      <c r="AI149" s="94"/>
      <c r="AJ149" s="94"/>
      <c r="AK149" s="94"/>
      <c r="AL149" s="84"/>
    </row>
    <row r="150" spans="1:38" ht="15.75" customHeight="1">
      <c r="A150" s="95">
        <v>5</v>
      </c>
      <c r="B150" s="119">
        <v>6</v>
      </c>
      <c r="C150" s="122" t="s">
        <v>652</v>
      </c>
      <c r="D150" s="122" t="s">
        <v>18</v>
      </c>
      <c r="E150" s="421"/>
      <c r="F150" s="422"/>
      <c r="G150" s="421"/>
      <c r="H150" s="422"/>
      <c r="I150" s="421"/>
      <c r="J150" s="422"/>
      <c r="K150" s="421"/>
      <c r="L150" s="422"/>
      <c r="M150" s="421"/>
      <c r="N150" s="422"/>
      <c r="O150" s="421"/>
      <c r="P150" s="422"/>
      <c r="Q150" s="421"/>
      <c r="R150" s="422"/>
      <c r="S150" s="421"/>
      <c r="T150" s="422"/>
      <c r="U150" s="421"/>
      <c r="V150" s="422"/>
      <c r="W150" s="421"/>
      <c r="X150" s="422"/>
      <c r="Y150" s="421"/>
      <c r="Z150" s="422"/>
      <c r="AA150" s="421"/>
      <c r="AB150" s="422"/>
      <c r="AC150" s="423"/>
      <c r="AD150" s="424"/>
      <c r="AE150" s="92"/>
      <c r="AF150" s="92"/>
      <c r="AG150" s="92"/>
      <c r="AH150" s="96"/>
      <c r="AI150" s="94"/>
      <c r="AJ150" s="94"/>
      <c r="AK150" s="94"/>
      <c r="AL150" s="84"/>
    </row>
    <row r="151" spans="1:38" ht="15.75" customHeight="1">
      <c r="A151" s="95">
        <v>6</v>
      </c>
      <c r="B151" s="119">
        <v>9</v>
      </c>
      <c r="C151" s="122" t="s">
        <v>653</v>
      </c>
      <c r="D151" s="122" t="s">
        <v>92</v>
      </c>
      <c r="E151" s="421"/>
      <c r="F151" s="422"/>
      <c r="G151" s="421"/>
      <c r="H151" s="422"/>
      <c r="I151" s="421"/>
      <c r="J151" s="422"/>
      <c r="K151" s="421"/>
      <c r="L151" s="422"/>
      <c r="M151" s="421"/>
      <c r="N151" s="422"/>
      <c r="O151" s="421"/>
      <c r="P151" s="422"/>
      <c r="Q151" s="421"/>
      <c r="R151" s="422"/>
      <c r="S151" s="421"/>
      <c r="T151" s="422"/>
      <c r="U151" s="421"/>
      <c r="V151" s="422"/>
      <c r="W151" s="421"/>
      <c r="X151" s="422"/>
      <c r="Y151" s="421"/>
      <c r="Z151" s="422"/>
      <c r="AA151" s="421"/>
      <c r="AB151" s="422"/>
      <c r="AC151" s="423"/>
      <c r="AD151" s="424"/>
      <c r="AE151" s="92"/>
      <c r="AF151" s="92"/>
      <c r="AG151" s="92"/>
      <c r="AH151" s="96"/>
      <c r="AI151" s="94"/>
      <c r="AJ151" s="94"/>
      <c r="AK151" s="94"/>
      <c r="AL151" s="84"/>
    </row>
    <row r="152" spans="1:38" ht="15.75" customHeight="1">
      <c r="A152" s="95">
        <v>7</v>
      </c>
      <c r="B152" s="119">
        <v>10</v>
      </c>
      <c r="C152" s="122" t="s">
        <v>654</v>
      </c>
      <c r="D152" s="122" t="s">
        <v>92</v>
      </c>
      <c r="E152" s="421"/>
      <c r="F152" s="422"/>
      <c r="G152" s="421"/>
      <c r="H152" s="422"/>
      <c r="I152" s="421"/>
      <c r="J152" s="422"/>
      <c r="K152" s="421"/>
      <c r="L152" s="422"/>
      <c r="M152" s="421"/>
      <c r="N152" s="422"/>
      <c r="O152" s="421"/>
      <c r="P152" s="422"/>
      <c r="Q152" s="421"/>
      <c r="R152" s="422"/>
      <c r="S152" s="421"/>
      <c r="T152" s="422"/>
      <c r="U152" s="421"/>
      <c r="V152" s="422"/>
      <c r="W152" s="421"/>
      <c r="X152" s="422"/>
      <c r="Y152" s="421"/>
      <c r="Z152" s="422"/>
      <c r="AA152" s="421"/>
      <c r="AB152" s="422"/>
      <c r="AC152" s="423"/>
      <c r="AD152" s="424"/>
      <c r="AE152" s="92"/>
      <c r="AF152" s="92"/>
      <c r="AG152" s="92"/>
      <c r="AH152" s="96"/>
      <c r="AI152" s="94"/>
      <c r="AJ152" s="94"/>
      <c r="AK152" s="94"/>
      <c r="AL152" s="84"/>
    </row>
    <row r="153" spans="1:38" ht="15.75" customHeight="1">
      <c r="A153" s="95">
        <v>8</v>
      </c>
      <c r="B153" s="119">
        <v>11</v>
      </c>
      <c r="C153" s="122" t="s">
        <v>655</v>
      </c>
      <c r="D153" s="122" t="s">
        <v>19</v>
      </c>
      <c r="E153" s="421"/>
      <c r="F153" s="422"/>
      <c r="G153" s="421"/>
      <c r="H153" s="422"/>
      <c r="I153" s="421"/>
      <c r="J153" s="422"/>
      <c r="K153" s="421"/>
      <c r="L153" s="422"/>
      <c r="M153" s="421"/>
      <c r="N153" s="422"/>
      <c r="O153" s="421"/>
      <c r="P153" s="422"/>
      <c r="Q153" s="421"/>
      <c r="R153" s="422"/>
      <c r="S153" s="421"/>
      <c r="T153" s="422"/>
      <c r="U153" s="421"/>
      <c r="V153" s="422"/>
      <c r="W153" s="421"/>
      <c r="X153" s="422"/>
      <c r="Y153" s="421"/>
      <c r="Z153" s="422"/>
      <c r="AA153" s="421"/>
      <c r="AB153" s="422"/>
      <c r="AC153" s="423"/>
      <c r="AD153" s="424"/>
      <c r="AE153" s="92"/>
      <c r="AF153" s="92"/>
      <c r="AG153" s="92"/>
      <c r="AH153" s="96"/>
      <c r="AI153" s="94"/>
      <c r="AJ153" s="94"/>
      <c r="AK153" s="94"/>
      <c r="AL153" s="84"/>
    </row>
    <row r="154" spans="1:38" ht="15.75" customHeight="1">
      <c r="A154" s="95">
        <v>9</v>
      </c>
      <c r="B154" s="119">
        <v>12</v>
      </c>
      <c r="C154" s="122" t="s">
        <v>656</v>
      </c>
      <c r="D154" s="122" t="s">
        <v>19</v>
      </c>
      <c r="E154" s="421"/>
      <c r="F154" s="422"/>
      <c r="G154" s="421"/>
      <c r="H154" s="422"/>
      <c r="I154" s="421"/>
      <c r="J154" s="422"/>
      <c r="K154" s="421"/>
      <c r="L154" s="422"/>
      <c r="M154" s="421"/>
      <c r="N154" s="422"/>
      <c r="O154" s="421"/>
      <c r="P154" s="422"/>
      <c r="Q154" s="421"/>
      <c r="R154" s="422"/>
      <c r="S154" s="421"/>
      <c r="T154" s="422"/>
      <c r="U154" s="421"/>
      <c r="V154" s="422"/>
      <c r="W154" s="421"/>
      <c r="X154" s="422"/>
      <c r="Y154" s="421"/>
      <c r="Z154" s="422"/>
      <c r="AA154" s="421"/>
      <c r="AB154" s="422"/>
      <c r="AC154" s="423"/>
      <c r="AD154" s="424"/>
      <c r="AE154" s="92"/>
      <c r="AF154" s="92"/>
      <c r="AG154" s="92"/>
      <c r="AH154" s="96"/>
      <c r="AI154" s="94"/>
      <c r="AJ154" s="94"/>
      <c r="AK154" s="94"/>
      <c r="AL154" s="84"/>
    </row>
    <row r="155" spans="1:38" ht="15.75" customHeight="1">
      <c r="A155" s="95">
        <v>10</v>
      </c>
      <c r="B155" s="119">
        <v>5</v>
      </c>
      <c r="C155" s="122" t="s">
        <v>651</v>
      </c>
      <c r="D155" s="122" t="s">
        <v>18</v>
      </c>
      <c r="E155" s="421"/>
      <c r="F155" s="422"/>
      <c r="G155" s="421"/>
      <c r="H155" s="422"/>
      <c r="I155" s="421"/>
      <c r="J155" s="422"/>
      <c r="K155" s="421"/>
      <c r="L155" s="422"/>
      <c r="M155" s="421"/>
      <c r="N155" s="422"/>
      <c r="O155" s="421"/>
      <c r="P155" s="422"/>
      <c r="Q155" s="421"/>
      <c r="R155" s="422"/>
      <c r="S155" s="421"/>
      <c r="T155" s="422"/>
      <c r="U155" s="421"/>
      <c r="V155" s="422"/>
      <c r="W155" s="421"/>
      <c r="X155" s="422"/>
      <c r="Y155" s="421"/>
      <c r="Z155" s="422"/>
      <c r="AA155" s="421"/>
      <c r="AB155" s="422"/>
      <c r="AC155" s="423"/>
      <c r="AD155" s="424"/>
      <c r="AE155" s="92"/>
      <c r="AF155" s="92"/>
      <c r="AG155" s="92"/>
      <c r="AH155" s="96"/>
      <c r="AI155" s="94"/>
      <c r="AJ155" s="94"/>
      <c r="AK155" s="94"/>
      <c r="AL155" s="84"/>
    </row>
    <row r="156" spans="1:38" ht="15.75" customHeight="1">
      <c r="A156" s="95"/>
      <c r="B156" s="119"/>
      <c r="C156" s="122"/>
      <c r="D156" s="122"/>
      <c r="E156" s="421"/>
      <c r="F156" s="422"/>
      <c r="G156" s="421"/>
      <c r="H156" s="422"/>
      <c r="I156" s="421"/>
      <c r="J156" s="422"/>
      <c r="K156" s="421"/>
      <c r="L156" s="422"/>
      <c r="M156" s="421"/>
      <c r="N156" s="422"/>
      <c r="O156" s="421"/>
      <c r="P156" s="422"/>
      <c r="Q156" s="421"/>
      <c r="R156" s="422"/>
      <c r="S156" s="421"/>
      <c r="T156" s="422"/>
      <c r="U156" s="421"/>
      <c r="V156" s="422"/>
      <c r="W156" s="421"/>
      <c r="X156" s="422"/>
      <c r="Y156" s="421"/>
      <c r="Z156" s="422"/>
      <c r="AA156" s="421"/>
      <c r="AB156" s="422"/>
      <c r="AC156" s="423"/>
      <c r="AD156" s="424"/>
      <c r="AE156" s="92"/>
      <c r="AF156" s="92"/>
      <c r="AG156" s="92"/>
      <c r="AH156" s="96"/>
      <c r="AI156" s="94"/>
      <c r="AJ156" s="94"/>
      <c r="AK156" s="94"/>
      <c r="AL156" s="84"/>
    </row>
    <row r="157" spans="1:38" ht="15.75" customHeight="1">
      <c r="A157" s="95"/>
      <c r="B157" s="119"/>
      <c r="C157" s="122"/>
      <c r="D157" s="119"/>
      <c r="E157" s="421"/>
      <c r="F157" s="422"/>
      <c r="G157" s="421"/>
      <c r="H157" s="422"/>
      <c r="I157" s="421"/>
      <c r="J157" s="422"/>
      <c r="K157" s="421"/>
      <c r="L157" s="422"/>
      <c r="M157" s="421"/>
      <c r="N157" s="422"/>
      <c r="O157" s="421"/>
      <c r="P157" s="422"/>
      <c r="Q157" s="421"/>
      <c r="R157" s="422"/>
      <c r="S157" s="421"/>
      <c r="T157" s="422"/>
      <c r="U157" s="421"/>
      <c r="V157" s="422"/>
      <c r="W157" s="421"/>
      <c r="X157" s="422"/>
      <c r="Y157" s="421"/>
      <c r="Z157" s="422"/>
      <c r="AA157" s="421"/>
      <c r="AB157" s="422"/>
      <c r="AC157" s="423"/>
      <c r="AD157" s="424"/>
      <c r="AE157" s="92"/>
      <c r="AF157" s="92"/>
      <c r="AG157" s="92"/>
      <c r="AH157" s="96"/>
      <c r="AI157" s="94"/>
      <c r="AJ157" s="94"/>
      <c r="AK157" s="94"/>
      <c r="AL157" s="84"/>
    </row>
    <row r="158" spans="1:38" ht="15.75" customHeight="1">
      <c r="A158" s="95"/>
      <c r="B158" s="122"/>
      <c r="C158" s="122"/>
      <c r="D158" s="119"/>
      <c r="E158" s="421"/>
      <c r="F158" s="422"/>
      <c r="G158" s="421"/>
      <c r="H158" s="422"/>
      <c r="I158" s="421"/>
      <c r="J158" s="422"/>
      <c r="K158" s="421"/>
      <c r="L158" s="422"/>
      <c r="M158" s="421"/>
      <c r="N158" s="422"/>
      <c r="O158" s="421"/>
      <c r="P158" s="422"/>
      <c r="Q158" s="421"/>
      <c r="R158" s="422"/>
      <c r="S158" s="421"/>
      <c r="T158" s="422"/>
      <c r="U158" s="421"/>
      <c r="V158" s="422"/>
      <c r="W158" s="421"/>
      <c r="X158" s="422"/>
      <c r="Y158" s="421"/>
      <c r="Z158" s="422"/>
      <c r="AA158" s="421"/>
      <c r="AB158" s="422"/>
      <c r="AC158" s="423"/>
      <c r="AD158" s="424"/>
      <c r="AE158" s="92"/>
      <c r="AF158" s="92"/>
      <c r="AG158" s="92"/>
      <c r="AH158" s="96"/>
      <c r="AI158" s="94"/>
      <c r="AJ158" s="94"/>
      <c r="AK158" s="94"/>
      <c r="AL158" s="84"/>
    </row>
    <row r="159" spans="1:38" ht="15.75" customHeight="1">
      <c r="A159" s="95"/>
      <c r="B159" s="119"/>
      <c r="C159" s="119"/>
      <c r="D159" s="119"/>
      <c r="E159" s="421"/>
      <c r="F159" s="422"/>
      <c r="G159" s="421"/>
      <c r="H159" s="422"/>
      <c r="I159" s="421"/>
      <c r="J159" s="422"/>
      <c r="K159" s="421"/>
      <c r="L159" s="422"/>
      <c r="M159" s="421"/>
      <c r="N159" s="422"/>
      <c r="O159" s="421"/>
      <c r="P159" s="422"/>
      <c r="Q159" s="421"/>
      <c r="R159" s="422"/>
      <c r="S159" s="421"/>
      <c r="T159" s="422"/>
      <c r="U159" s="421"/>
      <c r="V159" s="422"/>
      <c r="W159" s="421"/>
      <c r="X159" s="422"/>
      <c r="Y159" s="421"/>
      <c r="Z159" s="422"/>
      <c r="AA159" s="421"/>
      <c r="AB159" s="422"/>
      <c r="AC159" s="423"/>
      <c r="AD159" s="424"/>
      <c r="AE159" s="92"/>
      <c r="AF159" s="92"/>
      <c r="AG159" s="92"/>
      <c r="AH159" s="93"/>
      <c r="AI159" s="94"/>
      <c r="AJ159" s="94"/>
      <c r="AK159" s="94"/>
      <c r="AL159" s="84"/>
    </row>
    <row r="160" spans="1:38" ht="15.75" customHeight="1">
      <c r="A160" s="95"/>
      <c r="B160" s="119"/>
      <c r="C160" s="119"/>
      <c r="D160" s="119"/>
      <c r="E160" s="421"/>
      <c r="F160" s="422"/>
      <c r="G160" s="421"/>
      <c r="H160" s="422"/>
      <c r="I160" s="421"/>
      <c r="J160" s="422"/>
      <c r="K160" s="421"/>
      <c r="L160" s="422"/>
      <c r="M160" s="421"/>
      <c r="N160" s="422"/>
      <c r="O160" s="421"/>
      <c r="P160" s="422"/>
      <c r="Q160" s="421"/>
      <c r="R160" s="422"/>
      <c r="S160" s="421"/>
      <c r="T160" s="422"/>
      <c r="U160" s="421"/>
      <c r="V160" s="422"/>
      <c r="W160" s="421"/>
      <c r="X160" s="422"/>
      <c r="Y160" s="421"/>
      <c r="Z160" s="422"/>
      <c r="AA160" s="421"/>
      <c r="AB160" s="422"/>
      <c r="AC160" s="423"/>
      <c r="AD160" s="424"/>
      <c r="AE160" s="92"/>
      <c r="AF160" s="92"/>
      <c r="AG160" s="92"/>
      <c r="AH160" s="93"/>
      <c r="AI160" s="94"/>
      <c r="AJ160" s="94"/>
      <c r="AK160" s="94"/>
      <c r="AL160" s="84"/>
    </row>
    <row r="161" spans="1:38" ht="12.7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9"/>
      <c r="AD161" s="99"/>
      <c r="AE161" s="98"/>
      <c r="AF161" s="98"/>
      <c r="AG161" s="98"/>
      <c r="AH161" s="98"/>
      <c r="AI161" s="98"/>
      <c r="AJ161" s="98"/>
      <c r="AK161" s="98"/>
      <c r="AL161" s="84"/>
    </row>
    <row r="162" spans="1:38" ht="12.75">
      <c r="A162" s="411" t="s">
        <v>172</v>
      </c>
      <c r="B162" s="417"/>
      <c r="C162" s="417"/>
      <c r="D162" s="417"/>
      <c r="E162" s="417"/>
      <c r="F162" s="418"/>
      <c r="G162" s="411" t="s">
        <v>172</v>
      </c>
      <c r="H162" s="417"/>
      <c r="I162" s="417"/>
      <c r="J162" s="417"/>
      <c r="K162" s="417"/>
      <c r="L162" s="417"/>
      <c r="M162" s="417"/>
      <c r="N162" s="417"/>
      <c r="O162" s="417"/>
      <c r="P162" s="417"/>
      <c r="Q162" s="417"/>
      <c r="R162" s="417"/>
      <c r="S162" s="417"/>
      <c r="T162" s="417"/>
      <c r="U162" s="417"/>
      <c r="V162" s="417"/>
      <c r="W162" s="417"/>
      <c r="X162" s="418"/>
      <c r="Y162" s="416" t="s">
        <v>173</v>
      </c>
      <c r="Z162" s="417"/>
      <c r="AA162" s="417"/>
      <c r="AB162" s="417"/>
      <c r="AC162" s="417"/>
      <c r="AD162" s="417"/>
      <c r="AE162" s="417"/>
      <c r="AF162" s="417"/>
      <c r="AG162" s="417"/>
      <c r="AH162" s="417"/>
      <c r="AI162" s="417"/>
      <c r="AJ162" s="417"/>
      <c r="AK162" s="418"/>
      <c r="AL162" s="84"/>
    </row>
    <row r="163" spans="1:38" ht="12.75">
      <c r="A163" s="95" t="s">
        <v>0</v>
      </c>
      <c r="B163" s="95" t="s">
        <v>174</v>
      </c>
      <c r="C163" s="95" t="s">
        <v>156</v>
      </c>
      <c r="D163" s="95" t="s">
        <v>157</v>
      </c>
      <c r="E163" s="416" t="s">
        <v>183</v>
      </c>
      <c r="F163" s="418"/>
      <c r="G163" s="416" t="s">
        <v>0</v>
      </c>
      <c r="H163" s="419"/>
      <c r="I163" s="416" t="s">
        <v>174</v>
      </c>
      <c r="J163" s="418"/>
      <c r="K163" s="416" t="s">
        <v>156</v>
      </c>
      <c r="L163" s="417"/>
      <c r="M163" s="417"/>
      <c r="N163" s="417"/>
      <c r="O163" s="417"/>
      <c r="P163" s="417"/>
      <c r="Q163" s="420" t="s">
        <v>157</v>
      </c>
      <c r="R163" s="417"/>
      <c r="S163" s="417"/>
      <c r="T163" s="417"/>
      <c r="U163" s="417"/>
      <c r="V163" s="418"/>
      <c r="W163" s="416" t="s">
        <v>183</v>
      </c>
      <c r="X163" s="418"/>
      <c r="Y163" s="100"/>
      <c r="Z163" s="101"/>
      <c r="AA163" s="101"/>
      <c r="AB163" s="101"/>
      <c r="AC163" s="102"/>
      <c r="AD163" s="102"/>
      <c r="AE163" s="81"/>
      <c r="AF163" s="81"/>
      <c r="AG163" s="103"/>
      <c r="AH163" s="103"/>
      <c r="AI163" s="103"/>
      <c r="AJ163" s="103"/>
      <c r="AK163" s="104"/>
      <c r="AL163" s="84"/>
    </row>
    <row r="164" spans="1:38" ht="16.5" customHeight="1">
      <c r="A164" s="106">
        <v>1</v>
      </c>
      <c r="B164" s="106"/>
      <c r="C164" s="107"/>
      <c r="D164" s="107"/>
      <c r="E164" s="407"/>
      <c r="F164" s="408"/>
      <c r="G164" s="409">
        <v>9</v>
      </c>
      <c r="H164" s="410">
        <f aca="true" t="shared" si="4" ref="H164:H171">IF(ISERROR(VLOOKUP(G164,$C$6:$AR$21,31,FALSE))=TRUE,"",CONCATENATE(VLOOKUP(G164,$C$6:$AR$21,38,FALSE),VLOOKUP(G164,$C$6:$AR$21,42,FALSE)))</f>
      </c>
      <c r="I164" s="411"/>
      <c r="J164" s="412"/>
      <c r="K164" s="413"/>
      <c r="L164" s="414"/>
      <c r="M164" s="414"/>
      <c r="N164" s="414"/>
      <c r="O164" s="414"/>
      <c r="P164" s="415"/>
      <c r="Q164" s="413"/>
      <c r="R164" s="414"/>
      <c r="S164" s="414"/>
      <c r="T164" s="414"/>
      <c r="U164" s="414"/>
      <c r="V164" s="415"/>
      <c r="W164" s="407"/>
      <c r="X164" s="408"/>
      <c r="Y164" s="108"/>
      <c r="Z164" s="109"/>
      <c r="AA164" s="109"/>
      <c r="AB164" s="109"/>
      <c r="AC164" s="110"/>
      <c r="AD164" s="110"/>
      <c r="AE164" s="109"/>
      <c r="AF164" s="109"/>
      <c r="AG164" s="109"/>
      <c r="AH164" s="111"/>
      <c r="AI164" s="111"/>
      <c r="AJ164" s="111"/>
      <c r="AK164" s="112"/>
      <c r="AL164" s="84"/>
    </row>
    <row r="165" spans="1:38" ht="16.5" customHeight="1">
      <c r="A165" s="106">
        <v>2</v>
      </c>
      <c r="B165" s="106"/>
      <c r="C165" s="107"/>
      <c r="D165" s="107"/>
      <c r="E165" s="407"/>
      <c r="F165" s="408"/>
      <c r="G165" s="409">
        <v>10</v>
      </c>
      <c r="H165" s="410">
        <f t="shared" si="4"/>
      </c>
      <c r="I165" s="411"/>
      <c r="J165" s="412"/>
      <c r="K165" s="413"/>
      <c r="L165" s="414"/>
      <c r="M165" s="414"/>
      <c r="N165" s="414"/>
      <c r="O165" s="414"/>
      <c r="P165" s="415"/>
      <c r="Q165" s="413"/>
      <c r="R165" s="414"/>
      <c r="S165" s="414"/>
      <c r="T165" s="414"/>
      <c r="U165" s="414"/>
      <c r="V165" s="415"/>
      <c r="W165" s="407"/>
      <c r="X165" s="408"/>
      <c r="Y165" s="113"/>
      <c r="Z165" s="105"/>
      <c r="AA165" s="105"/>
      <c r="AB165" s="105"/>
      <c r="AC165" s="114"/>
      <c r="AD165" s="114"/>
      <c r="AE165" s="105"/>
      <c r="AF165" s="105"/>
      <c r="AG165" s="105"/>
      <c r="AH165" s="84"/>
      <c r="AI165" s="84"/>
      <c r="AJ165" s="84"/>
      <c r="AK165" s="115"/>
      <c r="AL165" s="84"/>
    </row>
    <row r="166" spans="1:38" ht="16.5" customHeight="1">
      <c r="A166" s="106">
        <v>3</v>
      </c>
      <c r="B166" s="106"/>
      <c r="C166" s="107"/>
      <c r="D166" s="107"/>
      <c r="E166" s="407"/>
      <c r="F166" s="408"/>
      <c r="G166" s="409">
        <v>11</v>
      </c>
      <c r="H166" s="410">
        <f t="shared" si="4"/>
      </c>
      <c r="I166" s="411"/>
      <c r="J166" s="412"/>
      <c r="K166" s="413"/>
      <c r="L166" s="414"/>
      <c r="M166" s="414"/>
      <c r="N166" s="414"/>
      <c r="O166" s="414"/>
      <c r="P166" s="415"/>
      <c r="Q166" s="413"/>
      <c r="R166" s="414"/>
      <c r="S166" s="414"/>
      <c r="T166" s="414"/>
      <c r="U166" s="414"/>
      <c r="V166" s="415"/>
      <c r="W166" s="407"/>
      <c r="X166" s="408"/>
      <c r="Y166" s="113"/>
      <c r="Z166" s="105"/>
      <c r="AA166" s="105"/>
      <c r="AB166" s="105"/>
      <c r="AC166" s="114"/>
      <c r="AD166" s="114"/>
      <c r="AE166" s="105"/>
      <c r="AF166" s="105"/>
      <c r="AG166" s="105"/>
      <c r="AH166" s="84"/>
      <c r="AI166" s="84"/>
      <c r="AJ166" s="84"/>
      <c r="AK166" s="115"/>
      <c r="AL166" s="84"/>
    </row>
    <row r="167" spans="1:38" ht="16.5" customHeight="1">
      <c r="A167" s="106">
        <v>4</v>
      </c>
      <c r="B167" s="106"/>
      <c r="C167" s="107"/>
      <c r="D167" s="107"/>
      <c r="E167" s="407"/>
      <c r="F167" s="408"/>
      <c r="G167" s="409">
        <v>12</v>
      </c>
      <c r="H167" s="410">
        <f t="shared" si="4"/>
      </c>
      <c r="I167" s="411"/>
      <c r="J167" s="412"/>
      <c r="K167" s="413"/>
      <c r="L167" s="414"/>
      <c r="M167" s="414"/>
      <c r="N167" s="414"/>
      <c r="O167" s="414"/>
      <c r="P167" s="415"/>
      <c r="Q167" s="413"/>
      <c r="R167" s="414"/>
      <c r="S167" s="414"/>
      <c r="T167" s="414"/>
      <c r="U167" s="414"/>
      <c r="V167" s="415"/>
      <c r="W167" s="407"/>
      <c r="X167" s="408"/>
      <c r="Y167" s="116"/>
      <c r="Z167" s="103"/>
      <c r="AA167" s="103"/>
      <c r="AB167" s="103"/>
      <c r="AC167" s="117"/>
      <c r="AD167" s="117"/>
      <c r="AE167" s="103"/>
      <c r="AF167" s="103"/>
      <c r="AG167" s="103"/>
      <c r="AH167" s="81"/>
      <c r="AI167" s="81"/>
      <c r="AJ167" s="81"/>
      <c r="AK167" s="83"/>
      <c r="AL167" s="84"/>
    </row>
    <row r="168" spans="1:38" ht="16.5" customHeight="1">
      <c r="A168" s="106">
        <v>5</v>
      </c>
      <c r="B168" s="106"/>
      <c r="C168" s="107"/>
      <c r="D168" s="107"/>
      <c r="E168" s="407"/>
      <c r="F168" s="408"/>
      <c r="G168" s="409">
        <v>13</v>
      </c>
      <c r="H168" s="410">
        <f t="shared" si="4"/>
      </c>
      <c r="I168" s="411"/>
      <c r="J168" s="412"/>
      <c r="K168" s="413"/>
      <c r="L168" s="414"/>
      <c r="M168" s="414"/>
      <c r="N168" s="414"/>
      <c r="O168" s="414"/>
      <c r="P168" s="415"/>
      <c r="Q168" s="413"/>
      <c r="R168" s="414"/>
      <c r="S168" s="414"/>
      <c r="T168" s="414"/>
      <c r="U168" s="414"/>
      <c r="V168" s="415"/>
      <c r="W168" s="407"/>
      <c r="X168" s="408"/>
      <c r="Y168" s="108"/>
      <c r="Z168" s="109"/>
      <c r="AA168" s="109"/>
      <c r="AB168" s="109"/>
      <c r="AC168" s="110"/>
      <c r="AD168" s="110"/>
      <c r="AE168" s="109"/>
      <c r="AF168" s="109"/>
      <c r="AG168" s="109"/>
      <c r="AH168" s="111"/>
      <c r="AI168" s="111"/>
      <c r="AJ168" s="111"/>
      <c r="AK168" s="112"/>
      <c r="AL168" s="84"/>
    </row>
    <row r="169" spans="1:38" ht="16.5" customHeight="1">
      <c r="A169" s="106">
        <v>6</v>
      </c>
      <c r="B169" s="106"/>
      <c r="C169" s="107"/>
      <c r="D169" s="107"/>
      <c r="E169" s="407"/>
      <c r="F169" s="408"/>
      <c r="G169" s="409">
        <v>14</v>
      </c>
      <c r="H169" s="410">
        <f t="shared" si="4"/>
      </c>
      <c r="I169" s="411"/>
      <c r="J169" s="412"/>
      <c r="K169" s="413"/>
      <c r="L169" s="414"/>
      <c r="M169" s="414"/>
      <c r="N169" s="414"/>
      <c r="O169" s="414"/>
      <c r="P169" s="415"/>
      <c r="Q169" s="413"/>
      <c r="R169" s="414"/>
      <c r="S169" s="414"/>
      <c r="T169" s="414"/>
      <c r="U169" s="414"/>
      <c r="V169" s="415"/>
      <c r="W169" s="407"/>
      <c r="X169" s="408"/>
      <c r="Y169" s="416" t="s">
        <v>176</v>
      </c>
      <c r="Z169" s="417"/>
      <c r="AA169" s="417"/>
      <c r="AB169" s="417"/>
      <c r="AC169" s="417"/>
      <c r="AD169" s="417"/>
      <c r="AE169" s="417"/>
      <c r="AF169" s="417"/>
      <c r="AG169" s="417"/>
      <c r="AH169" s="417"/>
      <c r="AI169" s="417"/>
      <c r="AJ169" s="417"/>
      <c r="AK169" s="418"/>
      <c r="AL169" s="84"/>
    </row>
    <row r="170" spans="1:38" ht="16.5" customHeight="1">
      <c r="A170" s="106">
        <v>7</v>
      </c>
      <c r="B170" s="106"/>
      <c r="C170" s="107"/>
      <c r="D170" s="107"/>
      <c r="E170" s="407"/>
      <c r="F170" s="408"/>
      <c r="G170" s="409">
        <v>15</v>
      </c>
      <c r="H170" s="410">
        <f t="shared" si="4"/>
      </c>
      <c r="I170" s="411"/>
      <c r="J170" s="412"/>
      <c r="K170" s="413"/>
      <c r="L170" s="414"/>
      <c r="M170" s="414"/>
      <c r="N170" s="414"/>
      <c r="O170" s="414"/>
      <c r="P170" s="415"/>
      <c r="Q170" s="413"/>
      <c r="R170" s="414"/>
      <c r="S170" s="414"/>
      <c r="T170" s="414"/>
      <c r="U170" s="414"/>
      <c r="V170" s="415"/>
      <c r="W170" s="407"/>
      <c r="X170" s="408"/>
      <c r="Y170" s="116"/>
      <c r="Z170" s="103"/>
      <c r="AA170" s="103"/>
      <c r="AB170" s="103"/>
      <c r="AC170" s="117"/>
      <c r="AD170" s="82"/>
      <c r="AE170" s="81"/>
      <c r="AF170" s="81"/>
      <c r="AG170" s="81"/>
      <c r="AH170" s="81"/>
      <c r="AI170" s="81"/>
      <c r="AJ170" s="81"/>
      <c r="AK170" s="83"/>
      <c r="AL170" s="84"/>
    </row>
    <row r="171" spans="1:38" ht="16.5" customHeight="1">
      <c r="A171" s="106">
        <v>8</v>
      </c>
      <c r="B171" s="106"/>
      <c r="C171" s="107"/>
      <c r="D171" s="107"/>
      <c r="E171" s="407"/>
      <c r="F171" s="408"/>
      <c r="G171" s="409">
        <v>16</v>
      </c>
      <c r="H171" s="410">
        <f t="shared" si="4"/>
      </c>
      <c r="I171" s="411"/>
      <c r="J171" s="412"/>
      <c r="K171" s="413"/>
      <c r="L171" s="414"/>
      <c r="M171" s="414"/>
      <c r="N171" s="414"/>
      <c r="O171" s="414"/>
      <c r="P171" s="415"/>
      <c r="Q171" s="413"/>
      <c r="R171" s="414"/>
      <c r="S171" s="414"/>
      <c r="T171" s="414"/>
      <c r="U171" s="414"/>
      <c r="V171" s="415"/>
      <c r="W171" s="407"/>
      <c r="X171" s="408"/>
      <c r="Y171" s="108"/>
      <c r="Z171" s="109"/>
      <c r="AA171" s="109"/>
      <c r="AB171" s="109"/>
      <c r="AC171" s="110"/>
      <c r="AD171" s="118"/>
      <c r="AE171" s="111"/>
      <c r="AF171" s="111"/>
      <c r="AG171" s="111"/>
      <c r="AH171" s="111"/>
      <c r="AI171" s="111"/>
      <c r="AJ171" s="111"/>
      <c r="AK171" s="112"/>
      <c r="AL171" s="84"/>
    </row>
    <row r="172" spans="1:38" ht="16.5" customHeight="1">
      <c r="A172" s="223"/>
      <c r="B172" s="219"/>
      <c r="C172" s="220"/>
      <c r="D172" s="220"/>
      <c r="E172" s="221"/>
      <c r="F172" s="221"/>
      <c r="G172" s="218"/>
      <c r="H172" s="218"/>
      <c r="I172" s="219"/>
      <c r="J172" s="219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1"/>
      <c r="X172" s="221"/>
      <c r="Y172" s="105"/>
      <c r="Z172" s="105"/>
      <c r="AA172" s="105"/>
      <c r="AB172" s="105"/>
      <c r="AC172" s="114"/>
      <c r="AD172" s="222"/>
      <c r="AE172" s="84"/>
      <c r="AF172" s="84"/>
      <c r="AG172" s="84"/>
      <c r="AH172" s="84"/>
      <c r="AI172" s="84"/>
      <c r="AJ172" s="84"/>
      <c r="AK172" s="115"/>
      <c r="AL172" s="84"/>
    </row>
    <row r="173" spans="1:38" ht="16.5" customHeight="1">
      <c r="A173" s="224"/>
      <c r="B173" s="224"/>
      <c r="C173" s="225"/>
      <c r="D173" s="225"/>
      <c r="E173" s="226"/>
      <c r="F173" s="226"/>
      <c r="G173" s="227"/>
      <c r="H173" s="227"/>
      <c r="I173" s="224"/>
      <c r="J173" s="224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6"/>
      <c r="X173" s="226"/>
      <c r="Y173" s="105"/>
      <c r="Z173" s="105"/>
      <c r="AA173" s="105"/>
      <c r="AB173" s="105"/>
      <c r="AC173" s="114"/>
      <c r="AD173" s="222"/>
      <c r="AE173" s="84"/>
      <c r="AF173" s="84"/>
      <c r="AG173" s="84"/>
      <c r="AH173" s="84"/>
      <c r="AI173" s="84"/>
      <c r="AJ173" s="84"/>
      <c r="AK173" s="115"/>
      <c r="AL173" s="84"/>
    </row>
    <row r="174" spans="1:38" ht="16.5" customHeight="1">
      <c r="A174" s="224"/>
      <c r="B174" s="224"/>
      <c r="C174" s="225"/>
      <c r="D174" s="225"/>
      <c r="E174" s="226"/>
      <c r="F174" s="226"/>
      <c r="G174" s="227"/>
      <c r="H174" s="227"/>
      <c r="I174" s="224"/>
      <c r="J174" s="224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6"/>
      <c r="X174" s="226"/>
      <c r="Y174" s="105"/>
      <c r="Z174" s="105"/>
      <c r="AA174" s="105"/>
      <c r="AB174" s="105"/>
      <c r="AC174" s="114"/>
      <c r="AD174" s="222"/>
      <c r="AE174" s="84"/>
      <c r="AF174" s="84"/>
      <c r="AG174" s="84"/>
      <c r="AH174" s="84"/>
      <c r="AI174" s="84"/>
      <c r="AJ174" s="84"/>
      <c r="AK174" s="115"/>
      <c r="AL174" s="84"/>
    </row>
    <row r="175" spans="1:37" ht="20.25">
      <c r="A175" s="80" t="s">
        <v>178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81"/>
      <c r="Z175" s="81"/>
      <c r="AA175" s="81"/>
      <c r="AB175" s="81"/>
      <c r="AC175" s="82"/>
      <c r="AD175" s="82"/>
      <c r="AE175" s="81"/>
      <c r="AF175" s="81"/>
      <c r="AG175" s="81"/>
      <c r="AH175" s="81"/>
      <c r="AI175" s="81"/>
      <c r="AJ175" s="81"/>
      <c r="AK175" s="83"/>
    </row>
    <row r="176" spans="1:37" ht="12.75">
      <c r="A176" s="428" t="s">
        <v>148</v>
      </c>
      <c r="B176" s="429"/>
      <c r="C176" s="341" t="s">
        <v>319</v>
      </c>
      <c r="D176" s="342"/>
      <c r="E176" s="428" t="s">
        <v>149</v>
      </c>
      <c r="F176" s="430"/>
      <c r="G176" s="429"/>
      <c r="H176" s="411" t="s">
        <v>360</v>
      </c>
      <c r="I176" s="431"/>
      <c r="J176" s="431"/>
      <c r="K176" s="431"/>
      <c r="L176" s="431"/>
      <c r="M176" s="431"/>
      <c r="N176" s="431"/>
      <c r="O176" s="431"/>
      <c r="P176" s="431"/>
      <c r="Q176" s="431"/>
      <c r="R176" s="431"/>
      <c r="S176" s="431"/>
      <c r="T176" s="431"/>
      <c r="U176" s="431"/>
      <c r="V176" s="412"/>
      <c r="W176" s="428" t="s">
        <v>150</v>
      </c>
      <c r="X176" s="430"/>
      <c r="Y176" s="429"/>
      <c r="Z176" s="432" t="s">
        <v>368</v>
      </c>
      <c r="AA176" s="433"/>
      <c r="AB176" s="433"/>
      <c r="AC176" s="434"/>
      <c r="AD176" s="434"/>
      <c r="AE176" s="434"/>
      <c r="AF176" s="434"/>
      <c r="AG176" s="434"/>
      <c r="AH176" s="434"/>
      <c r="AI176" s="434"/>
      <c r="AJ176" s="434"/>
      <c r="AK176" s="435"/>
    </row>
    <row r="177" spans="1:37" ht="12.75">
      <c r="A177" s="428" t="s">
        <v>179</v>
      </c>
      <c r="B177" s="429"/>
      <c r="C177" s="377" t="s">
        <v>193</v>
      </c>
      <c r="D177" s="378"/>
      <c r="E177" s="428" t="s">
        <v>151</v>
      </c>
      <c r="F177" s="430"/>
      <c r="G177" s="429"/>
      <c r="H177" s="436" t="s">
        <v>187</v>
      </c>
      <c r="I177" s="437"/>
      <c r="J177" s="438"/>
      <c r="K177" s="428" t="s">
        <v>152</v>
      </c>
      <c r="L177" s="430"/>
      <c r="M177" s="430"/>
      <c r="N177" s="430"/>
      <c r="O177" s="430"/>
      <c r="P177" s="429"/>
      <c r="Q177" s="439"/>
      <c r="R177" s="440"/>
      <c r="S177" s="441"/>
      <c r="T177" s="442" t="s">
        <v>153</v>
      </c>
      <c r="U177" s="443"/>
      <c r="V177" s="444"/>
      <c r="W177" s="445"/>
      <c r="X177" s="446"/>
      <c r="Y177" s="446"/>
      <c r="Z177" s="446"/>
      <c r="AA177" s="446"/>
      <c r="AB177" s="446"/>
      <c r="AC177" s="446"/>
      <c r="AD177" s="446"/>
      <c r="AE177" s="446"/>
      <c r="AF177" s="446"/>
      <c r="AG177" s="446"/>
      <c r="AH177" s="446"/>
      <c r="AI177" s="446"/>
      <c r="AJ177" s="446"/>
      <c r="AK177" s="447"/>
    </row>
    <row r="178" spans="1:37" ht="12.75">
      <c r="A178" s="85" t="s">
        <v>154</v>
      </c>
      <c r="B178" s="85" t="s">
        <v>155</v>
      </c>
      <c r="C178" s="85" t="s">
        <v>156</v>
      </c>
      <c r="D178" s="86" t="s">
        <v>157</v>
      </c>
      <c r="E178" s="448"/>
      <c r="F178" s="449"/>
      <c r="G178" s="448"/>
      <c r="H178" s="449"/>
      <c r="I178" s="448"/>
      <c r="J178" s="449"/>
      <c r="K178" s="448"/>
      <c r="L178" s="449"/>
      <c r="M178" s="448"/>
      <c r="N178" s="449"/>
      <c r="O178" s="448"/>
      <c r="P178" s="449"/>
      <c r="Q178" s="448"/>
      <c r="R178" s="449"/>
      <c r="S178" s="448"/>
      <c r="T178" s="449"/>
      <c r="U178" s="448"/>
      <c r="V178" s="449"/>
      <c r="W178" s="448"/>
      <c r="X178" s="449"/>
      <c r="Y178" s="448"/>
      <c r="Z178" s="449"/>
      <c r="AA178" s="448"/>
      <c r="AB178" s="449"/>
      <c r="AC178" s="450" t="s">
        <v>166</v>
      </c>
      <c r="AD178" s="451"/>
      <c r="AE178" s="452" t="s">
        <v>180</v>
      </c>
      <c r="AF178" s="452" t="s">
        <v>181</v>
      </c>
      <c r="AG178" s="452" t="s">
        <v>182</v>
      </c>
      <c r="AH178" s="454" t="s">
        <v>167</v>
      </c>
      <c r="AI178" s="87"/>
      <c r="AJ178" s="456" t="s">
        <v>168</v>
      </c>
      <c r="AK178" s="457"/>
    </row>
    <row r="179" spans="1:37" ht="12.75">
      <c r="A179" s="88"/>
      <c r="B179" s="88"/>
      <c r="C179" s="89"/>
      <c r="D179" s="90"/>
      <c r="E179" s="425" t="s">
        <v>169</v>
      </c>
      <c r="F179" s="420"/>
      <c r="G179" s="425" t="s">
        <v>169</v>
      </c>
      <c r="H179" s="420"/>
      <c r="I179" s="425" t="s">
        <v>169</v>
      </c>
      <c r="J179" s="420"/>
      <c r="K179" s="425" t="s">
        <v>169</v>
      </c>
      <c r="L179" s="420"/>
      <c r="M179" s="425" t="s">
        <v>169</v>
      </c>
      <c r="N179" s="420"/>
      <c r="O179" s="425" t="s">
        <v>169</v>
      </c>
      <c r="P179" s="420"/>
      <c r="Q179" s="425" t="s">
        <v>169</v>
      </c>
      <c r="R179" s="420"/>
      <c r="S179" s="425" t="s">
        <v>169</v>
      </c>
      <c r="T179" s="420"/>
      <c r="U179" s="425" t="s">
        <v>169</v>
      </c>
      <c r="V179" s="420"/>
      <c r="W179" s="425" t="s">
        <v>169</v>
      </c>
      <c r="X179" s="420"/>
      <c r="Y179" s="425" t="s">
        <v>169</v>
      </c>
      <c r="Z179" s="420"/>
      <c r="AA179" s="425" t="s">
        <v>169</v>
      </c>
      <c r="AB179" s="420"/>
      <c r="AC179" s="426" t="s">
        <v>169</v>
      </c>
      <c r="AD179" s="427"/>
      <c r="AE179" s="453"/>
      <c r="AF179" s="453"/>
      <c r="AG179" s="453"/>
      <c r="AH179" s="455"/>
      <c r="AI179" s="91"/>
      <c r="AJ179" s="458"/>
      <c r="AK179" s="459"/>
    </row>
    <row r="180" spans="1:37" ht="15.75" customHeight="1">
      <c r="A180" s="88"/>
      <c r="B180" s="168"/>
      <c r="C180" s="120" t="s">
        <v>415</v>
      </c>
      <c r="D180" s="370" t="s">
        <v>356</v>
      </c>
      <c r="E180" s="371"/>
      <c r="F180" s="371"/>
      <c r="G180" s="371"/>
      <c r="H180" s="372"/>
      <c r="I180" s="421"/>
      <c r="J180" s="422"/>
      <c r="K180" s="421"/>
      <c r="L180" s="422"/>
      <c r="M180" s="421"/>
      <c r="N180" s="422"/>
      <c r="O180" s="421"/>
      <c r="P180" s="422"/>
      <c r="Q180" s="421"/>
      <c r="R180" s="422"/>
      <c r="S180" s="421"/>
      <c r="T180" s="422"/>
      <c r="U180" s="421"/>
      <c r="V180" s="422"/>
      <c r="W180" s="421"/>
      <c r="X180" s="422"/>
      <c r="Y180" s="421"/>
      <c r="Z180" s="422"/>
      <c r="AA180" s="421"/>
      <c r="AB180" s="422"/>
      <c r="AC180" s="423"/>
      <c r="AD180" s="424"/>
      <c r="AE180" s="92"/>
      <c r="AF180" s="92"/>
      <c r="AG180" s="92"/>
      <c r="AH180" s="93"/>
      <c r="AI180" s="94"/>
      <c r="AJ180" s="94"/>
      <c r="AK180" s="94"/>
    </row>
    <row r="181" spans="1:37" ht="15.75" customHeight="1">
      <c r="A181" s="95">
        <v>1</v>
      </c>
      <c r="B181" s="119">
        <v>3</v>
      </c>
      <c r="C181" s="122" t="s">
        <v>454</v>
      </c>
      <c r="D181" s="122" t="s">
        <v>16</v>
      </c>
      <c r="E181" s="421"/>
      <c r="F181" s="422"/>
      <c r="G181" s="421"/>
      <c r="H181" s="422"/>
      <c r="I181" s="421"/>
      <c r="J181" s="422"/>
      <c r="K181" s="421"/>
      <c r="L181" s="422"/>
      <c r="M181" s="421"/>
      <c r="N181" s="422"/>
      <c r="O181" s="421"/>
      <c r="P181" s="422"/>
      <c r="Q181" s="421"/>
      <c r="R181" s="422"/>
      <c r="S181" s="421"/>
      <c r="T181" s="422"/>
      <c r="U181" s="421"/>
      <c r="V181" s="422"/>
      <c r="W181" s="421"/>
      <c r="X181" s="422"/>
      <c r="Y181" s="421"/>
      <c r="Z181" s="422"/>
      <c r="AA181" s="421"/>
      <c r="AB181" s="422"/>
      <c r="AC181" s="423"/>
      <c r="AD181" s="424"/>
      <c r="AE181" s="92"/>
      <c r="AF181" s="92"/>
      <c r="AG181" s="92"/>
      <c r="AH181" s="96"/>
      <c r="AI181" s="94"/>
      <c r="AJ181" s="94"/>
      <c r="AK181" s="94"/>
    </row>
    <row r="182" spans="1:37" ht="15.75" customHeight="1">
      <c r="A182" s="95">
        <v>2</v>
      </c>
      <c r="B182" s="119">
        <v>4</v>
      </c>
      <c r="C182" s="122" t="s">
        <v>455</v>
      </c>
      <c r="D182" s="122" t="s">
        <v>16</v>
      </c>
      <c r="E182" s="421"/>
      <c r="F182" s="422"/>
      <c r="G182" s="421"/>
      <c r="H182" s="422"/>
      <c r="I182" s="421"/>
      <c r="J182" s="422"/>
      <c r="K182" s="421"/>
      <c r="L182" s="422"/>
      <c r="M182" s="421"/>
      <c r="N182" s="422"/>
      <c r="O182" s="421"/>
      <c r="P182" s="422"/>
      <c r="Q182" s="421"/>
      <c r="R182" s="422"/>
      <c r="S182" s="421"/>
      <c r="T182" s="422"/>
      <c r="U182" s="421"/>
      <c r="V182" s="422"/>
      <c r="W182" s="421"/>
      <c r="X182" s="422"/>
      <c r="Y182" s="421"/>
      <c r="Z182" s="422"/>
      <c r="AA182" s="421"/>
      <c r="AB182" s="422"/>
      <c r="AC182" s="423"/>
      <c r="AD182" s="424"/>
      <c r="AE182" s="92"/>
      <c r="AF182" s="92"/>
      <c r="AG182" s="92"/>
      <c r="AH182" s="96"/>
      <c r="AI182" s="94"/>
      <c r="AJ182" s="94"/>
      <c r="AK182" s="94"/>
    </row>
    <row r="183" spans="1:37" ht="15.75" customHeight="1">
      <c r="A183" s="95">
        <v>3</v>
      </c>
      <c r="B183" s="119">
        <v>7</v>
      </c>
      <c r="C183" s="122" t="s">
        <v>456</v>
      </c>
      <c r="D183" s="122" t="s">
        <v>22</v>
      </c>
      <c r="E183" s="421"/>
      <c r="F183" s="422"/>
      <c r="G183" s="421"/>
      <c r="H183" s="422"/>
      <c r="I183" s="421"/>
      <c r="J183" s="422"/>
      <c r="K183" s="421"/>
      <c r="L183" s="422"/>
      <c r="M183" s="421"/>
      <c r="N183" s="422"/>
      <c r="O183" s="421"/>
      <c r="P183" s="422"/>
      <c r="Q183" s="421"/>
      <c r="R183" s="422"/>
      <c r="S183" s="421"/>
      <c r="T183" s="422"/>
      <c r="U183" s="421"/>
      <c r="V183" s="422"/>
      <c r="W183" s="421"/>
      <c r="X183" s="422"/>
      <c r="Y183" s="421"/>
      <c r="Z183" s="422"/>
      <c r="AA183" s="421"/>
      <c r="AB183" s="422"/>
      <c r="AC183" s="423"/>
      <c r="AD183" s="424"/>
      <c r="AE183" s="92"/>
      <c r="AF183" s="92"/>
      <c r="AG183" s="92"/>
      <c r="AH183" s="96"/>
      <c r="AI183" s="94"/>
      <c r="AJ183" s="94"/>
      <c r="AK183" s="94"/>
    </row>
    <row r="184" spans="1:37" ht="15.75" customHeight="1">
      <c r="A184" s="95">
        <v>4</v>
      </c>
      <c r="B184" s="119">
        <v>9</v>
      </c>
      <c r="C184" s="122" t="s">
        <v>457</v>
      </c>
      <c r="D184" s="122" t="s">
        <v>92</v>
      </c>
      <c r="E184" s="421"/>
      <c r="F184" s="422"/>
      <c r="G184" s="421"/>
      <c r="H184" s="422"/>
      <c r="I184" s="421"/>
      <c r="J184" s="422"/>
      <c r="K184" s="421"/>
      <c r="L184" s="422"/>
      <c r="M184" s="421"/>
      <c r="N184" s="422"/>
      <c r="O184" s="421"/>
      <c r="P184" s="422"/>
      <c r="Q184" s="421"/>
      <c r="R184" s="422"/>
      <c r="S184" s="421"/>
      <c r="T184" s="422"/>
      <c r="U184" s="421"/>
      <c r="V184" s="422"/>
      <c r="W184" s="421"/>
      <c r="X184" s="422"/>
      <c r="Y184" s="421"/>
      <c r="Z184" s="422"/>
      <c r="AA184" s="421"/>
      <c r="AB184" s="422"/>
      <c r="AC184" s="423"/>
      <c r="AD184" s="424"/>
      <c r="AE184" s="92"/>
      <c r="AF184" s="92"/>
      <c r="AG184" s="92"/>
      <c r="AH184" s="96"/>
      <c r="AI184" s="94"/>
      <c r="AJ184" s="94"/>
      <c r="AK184" s="94"/>
    </row>
    <row r="185" spans="1:37" ht="15.75" customHeight="1">
      <c r="A185" s="95"/>
      <c r="B185" s="119"/>
      <c r="C185" s="122"/>
      <c r="D185" s="122"/>
      <c r="E185" s="421"/>
      <c r="F185" s="422"/>
      <c r="G185" s="421"/>
      <c r="H185" s="422"/>
      <c r="I185" s="421"/>
      <c r="J185" s="422"/>
      <c r="K185" s="421"/>
      <c r="L185" s="422"/>
      <c r="M185" s="421"/>
      <c r="N185" s="422"/>
      <c r="O185" s="421"/>
      <c r="P185" s="422"/>
      <c r="Q185" s="421"/>
      <c r="R185" s="422"/>
      <c r="S185" s="421"/>
      <c r="T185" s="422"/>
      <c r="U185" s="421"/>
      <c r="V185" s="422"/>
      <c r="W185" s="421"/>
      <c r="X185" s="422"/>
      <c r="Y185" s="421"/>
      <c r="Z185" s="422"/>
      <c r="AA185" s="421"/>
      <c r="AB185" s="422"/>
      <c r="AC185" s="423"/>
      <c r="AD185" s="424"/>
      <c r="AE185" s="92"/>
      <c r="AF185" s="92"/>
      <c r="AG185" s="92"/>
      <c r="AH185" s="96"/>
      <c r="AI185" s="94"/>
      <c r="AJ185" s="94"/>
      <c r="AK185" s="94"/>
    </row>
    <row r="186" spans="1:37" ht="15.75" customHeight="1">
      <c r="A186" s="95"/>
      <c r="B186" s="119"/>
      <c r="C186" s="119"/>
      <c r="D186" s="119"/>
      <c r="E186" s="421"/>
      <c r="F186" s="422"/>
      <c r="G186" s="421"/>
      <c r="H186" s="422"/>
      <c r="I186" s="421"/>
      <c r="J186" s="422"/>
      <c r="K186" s="421"/>
      <c r="L186" s="422"/>
      <c r="M186" s="421"/>
      <c r="N186" s="422"/>
      <c r="O186" s="421"/>
      <c r="P186" s="422"/>
      <c r="Q186" s="421"/>
      <c r="R186" s="422"/>
      <c r="S186" s="421"/>
      <c r="T186" s="422"/>
      <c r="U186" s="421"/>
      <c r="V186" s="422"/>
      <c r="W186" s="421"/>
      <c r="X186" s="422"/>
      <c r="Y186" s="421"/>
      <c r="Z186" s="422"/>
      <c r="AA186" s="421"/>
      <c r="AB186" s="422"/>
      <c r="AC186" s="423"/>
      <c r="AD186" s="424"/>
      <c r="AE186" s="92"/>
      <c r="AF186" s="92"/>
      <c r="AG186" s="92"/>
      <c r="AH186" s="96"/>
      <c r="AI186" s="94"/>
      <c r="AJ186" s="94"/>
      <c r="AK186" s="94"/>
    </row>
    <row r="187" spans="1:37" ht="15.75" customHeight="1">
      <c r="A187" s="95"/>
      <c r="B187" s="119"/>
      <c r="C187" s="119"/>
      <c r="D187" s="119"/>
      <c r="E187" s="421"/>
      <c r="F187" s="422"/>
      <c r="G187" s="421"/>
      <c r="H187" s="422"/>
      <c r="I187" s="421"/>
      <c r="J187" s="422"/>
      <c r="K187" s="421"/>
      <c r="L187" s="422"/>
      <c r="M187" s="421"/>
      <c r="N187" s="422"/>
      <c r="O187" s="421"/>
      <c r="P187" s="422"/>
      <c r="Q187" s="421"/>
      <c r="R187" s="422"/>
      <c r="S187" s="421"/>
      <c r="T187" s="422"/>
      <c r="U187" s="421"/>
      <c r="V187" s="422"/>
      <c r="W187" s="421"/>
      <c r="X187" s="422"/>
      <c r="Y187" s="421"/>
      <c r="Z187" s="422"/>
      <c r="AA187" s="421"/>
      <c r="AB187" s="422"/>
      <c r="AC187" s="423"/>
      <c r="AD187" s="424"/>
      <c r="AE187" s="92"/>
      <c r="AF187" s="92"/>
      <c r="AG187" s="92"/>
      <c r="AH187" s="96"/>
      <c r="AI187" s="94"/>
      <c r="AJ187" s="94"/>
      <c r="AK187" s="94"/>
    </row>
    <row r="188" spans="1:37" ht="15.75" customHeight="1">
      <c r="A188" s="95"/>
      <c r="B188" s="119"/>
      <c r="C188" s="119"/>
      <c r="D188" s="119"/>
      <c r="E188" s="421"/>
      <c r="F188" s="422"/>
      <c r="G188" s="421"/>
      <c r="H188" s="422"/>
      <c r="I188" s="421"/>
      <c r="J188" s="422"/>
      <c r="K188" s="421"/>
      <c r="L188" s="422"/>
      <c r="M188" s="421"/>
      <c r="N188" s="422"/>
      <c r="O188" s="421"/>
      <c r="P188" s="422"/>
      <c r="Q188" s="421"/>
      <c r="R188" s="422"/>
      <c r="S188" s="421"/>
      <c r="T188" s="422"/>
      <c r="U188" s="421"/>
      <c r="V188" s="422"/>
      <c r="W188" s="421"/>
      <c r="X188" s="422"/>
      <c r="Y188" s="421"/>
      <c r="Z188" s="422"/>
      <c r="AA188" s="421"/>
      <c r="AB188" s="422"/>
      <c r="AC188" s="423"/>
      <c r="AD188" s="424"/>
      <c r="AE188" s="92"/>
      <c r="AF188" s="92"/>
      <c r="AG188" s="92"/>
      <c r="AH188" s="96"/>
      <c r="AI188" s="94"/>
      <c r="AJ188" s="94"/>
      <c r="AK188" s="94"/>
    </row>
    <row r="189" spans="1:37" ht="15.75" customHeight="1">
      <c r="A189" s="95"/>
      <c r="B189" s="119"/>
      <c r="C189" s="119"/>
      <c r="D189" s="119"/>
      <c r="E189" s="421"/>
      <c r="F189" s="422"/>
      <c r="G189" s="421"/>
      <c r="H189" s="422"/>
      <c r="I189" s="421"/>
      <c r="J189" s="422"/>
      <c r="K189" s="421"/>
      <c r="L189" s="422"/>
      <c r="M189" s="421"/>
      <c r="N189" s="422"/>
      <c r="O189" s="421"/>
      <c r="P189" s="422"/>
      <c r="Q189" s="421"/>
      <c r="R189" s="422"/>
      <c r="S189" s="421"/>
      <c r="T189" s="422"/>
      <c r="U189" s="421"/>
      <c r="V189" s="422"/>
      <c r="W189" s="421"/>
      <c r="X189" s="422"/>
      <c r="Y189" s="421"/>
      <c r="Z189" s="422"/>
      <c r="AA189" s="421"/>
      <c r="AB189" s="422"/>
      <c r="AC189" s="423"/>
      <c r="AD189" s="424"/>
      <c r="AE189" s="92"/>
      <c r="AF189" s="92"/>
      <c r="AG189" s="92"/>
      <c r="AH189" s="96"/>
      <c r="AI189" s="94"/>
      <c r="AJ189" s="94"/>
      <c r="AK189" s="94"/>
    </row>
    <row r="190" spans="1:37" ht="15.75" customHeight="1">
      <c r="A190" s="95"/>
      <c r="B190" s="119"/>
      <c r="C190" s="119"/>
      <c r="D190" s="119"/>
      <c r="E190" s="421"/>
      <c r="F190" s="422"/>
      <c r="G190" s="421"/>
      <c r="H190" s="422"/>
      <c r="I190" s="421"/>
      <c r="J190" s="422"/>
      <c r="K190" s="421"/>
      <c r="L190" s="422"/>
      <c r="M190" s="421"/>
      <c r="N190" s="422"/>
      <c r="O190" s="421"/>
      <c r="P190" s="422"/>
      <c r="Q190" s="421"/>
      <c r="R190" s="422"/>
      <c r="S190" s="421"/>
      <c r="T190" s="422"/>
      <c r="U190" s="421"/>
      <c r="V190" s="422"/>
      <c r="W190" s="421"/>
      <c r="X190" s="422"/>
      <c r="Y190" s="421"/>
      <c r="Z190" s="422"/>
      <c r="AA190" s="421"/>
      <c r="AB190" s="422"/>
      <c r="AC190" s="423"/>
      <c r="AD190" s="424"/>
      <c r="AE190" s="92"/>
      <c r="AF190" s="92"/>
      <c r="AG190" s="92"/>
      <c r="AH190" s="96"/>
      <c r="AI190" s="94"/>
      <c r="AJ190" s="94"/>
      <c r="AK190" s="94"/>
    </row>
    <row r="191" spans="1:37" ht="15.75" customHeight="1">
      <c r="A191" s="95"/>
      <c r="B191" s="119"/>
      <c r="C191" s="119"/>
      <c r="D191" s="119"/>
      <c r="E191" s="421"/>
      <c r="F191" s="422"/>
      <c r="G191" s="421"/>
      <c r="H191" s="422"/>
      <c r="I191" s="421"/>
      <c r="J191" s="422"/>
      <c r="K191" s="421"/>
      <c r="L191" s="422"/>
      <c r="M191" s="421"/>
      <c r="N191" s="422"/>
      <c r="O191" s="421"/>
      <c r="P191" s="422"/>
      <c r="Q191" s="421"/>
      <c r="R191" s="422"/>
      <c r="S191" s="421"/>
      <c r="T191" s="422"/>
      <c r="U191" s="421"/>
      <c r="V191" s="422"/>
      <c r="W191" s="421"/>
      <c r="X191" s="422"/>
      <c r="Y191" s="421"/>
      <c r="Z191" s="422"/>
      <c r="AA191" s="421"/>
      <c r="AB191" s="422"/>
      <c r="AC191" s="423"/>
      <c r="AD191" s="424"/>
      <c r="AE191" s="92"/>
      <c r="AF191" s="92"/>
      <c r="AG191" s="92"/>
      <c r="AH191" s="93"/>
      <c r="AI191" s="94"/>
      <c r="AJ191" s="94"/>
      <c r="AK191" s="94"/>
    </row>
    <row r="192" spans="1:37" ht="15.75" customHeight="1">
      <c r="A192" s="95"/>
      <c r="B192" s="167"/>
      <c r="C192" s="167"/>
      <c r="D192" s="167"/>
      <c r="E192" s="421"/>
      <c r="F192" s="422"/>
      <c r="G192" s="421"/>
      <c r="H192" s="422"/>
      <c r="I192" s="421"/>
      <c r="J192" s="422"/>
      <c r="K192" s="421"/>
      <c r="L192" s="422"/>
      <c r="M192" s="421"/>
      <c r="N192" s="422"/>
      <c r="O192" s="421"/>
      <c r="P192" s="422"/>
      <c r="Q192" s="421"/>
      <c r="R192" s="422"/>
      <c r="S192" s="421"/>
      <c r="T192" s="422"/>
      <c r="U192" s="421"/>
      <c r="V192" s="422"/>
      <c r="W192" s="421"/>
      <c r="X192" s="422"/>
      <c r="Y192" s="421"/>
      <c r="Z192" s="422"/>
      <c r="AA192" s="421"/>
      <c r="AB192" s="422"/>
      <c r="AC192" s="423"/>
      <c r="AD192" s="424"/>
      <c r="AE192" s="92"/>
      <c r="AF192" s="92"/>
      <c r="AG192" s="92"/>
      <c r="AH192" s="93"/>
      <c r="AI192" s="94"/>
      <c r="AJ192" s="94"/>
      <c r="AK192" s="94"/>
    </row>
    <row r="193" spans="1:37" ht="12.7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9"/>
      <c r="AD193" s="99"/>
      <c r="AE193" s="98"/>
      <c r="AF193" s="98"/>
      <c r="AG193" s="98"/>
      <c r="AH193" s="98"/>
      <c r="AI193" s="98"/>
      <c r="AJ193" s="98"/>
      <c r="AK193" s="98"/>
    </row>
    <row r="194" spans="1:37" ht="12.75">
      <c r="A194" s="411" t="s">
        <v>172</v>
      </c>
      <c r="B194" s="417"/>
      <c r="C194" s="417"/>
      <c r="D194" s="417"/>
      <c r="E194" s="417"/>
      <c r="F194" s="418"/>
      <c r="G194" s="411" t="s">
        <v>172</v>
      </c>
      <c r="H194" s="417"/>
      <c r="I194" s="417"/>
      <c r="J194" s="417"/>
      <c r="K194" s="417"/>
      <c r="L194" s="417"/>
      <c r="M194" s="417"/>
      <c r="N194" s="417"/>
      <c r="O194" s="417"/>
      <c r="P194" s="417"/>
      <c r="Q194" s="417"/>
      <c r="R194" s="417"/>
      <c r="S194" s="417"/>
      <c r="T194" s="417"/>
      <c r="U194" s="417"/>
      <c r="V194" s="417"/>
      <c r="W194" s="417"/>
      <c r="X194" s="418"/>
      <c r="Y194" s="416" t="s">
        <v>173</v>
      </c>
      <c r="Z194" s="417"/>
      <c r="AA194" s="417"/>
      <c r="AB194" s="417"/>
      <c r="AC194" s="417"/>
      <c r="AD194" s="417"/>
      <c r="AE194" s="417"/>
      <c r="AF194" s="417"/>
      <c r="AG194" s="417"/>
      <c r="AH194" s="417"/>
      <c r="AI194" s="417"/>
      <c r="AJ194" s="417"/>
      <c r="AK194" s="418"/>
    </row>
    <row r="195" spans="1:37" ht="12.75">
      <c r="A195" s="95" t="s">
        <v>0</v>
      </c>
      <c r="B195" s="95" t="s">
        <v>174</v>
      </c>
      <c r="C195" s="95" t="s">
        <v>156</v>
      </c>
      <c r="D195" s="95" t="s">
        <v>157</v>
      </c>
      <c r="E195" s="416" t="s">
        <v>183</v>
      </c>
      <c r="F195" s="418"/>
      <c r="G195" s="416" t="s">
        <v>0</v>
      </c>
      <c r="H195" s="419"/>
      <c r="I195" s="416" t="s">
        <v>174</v>
      </c>
      <c r="J195" s="418"/>
      <c r="K195" s="416" t="s">
        <v>156</v>
      </c>
      <c r="L195" s="417"/>
      <c r="M195" s="417"/>
      <c r="N195" s="417"/>
      <c r="O195" s="417"/>
      <c r="P195" s="417"/>
      <c r="Q195" s="420" t="s">
        <v>157</v>
      </c>
      <c r="R195" s="417"/>
      <c r="S195" s="417"/>
      <c r="T195" s="417"/>
      <c r="U195" s="417"/>
      <c r="V195" s="418"/>
      <c r="W195" s="416" t="s">
        <v>183</v>
      </c>
      <c r="X195" s="418"/>
      <c r="Y195" s="100"/>
      <c r="Z195" s="101"/>
      <c r="AA195" s="101"/>
      <c r="AB195" s="101"/>
      <c r="AC195" s="102"/>
      <c r="AD195" s="102"/>
      <c r="AE195" s="81"/>
      <c r="AF195" s="81"/>
      <c r="AG195" s="103"/>
      <c r="AH195" s="103"/>
      <c r="AI195" s="103"/>
      <c r="AJ195" s="103"/>
      <c r="AK195" s="104"/>
    </row>
    <row r="196" spans="1:37" ht="15.75" customHeight="1">
      <c r="A196" s="106">
        <v>1</v>
      </c>
      <c r="B196" s="106"/>
      <c r="C196" s="107"/>
      <c r="D196" s="107"/>
      <c r="E196" s="407"/>
      <c r="F196" s="408"/>
      <c r="G196" s="409">
        <v>9</v>
      </c>
      <c r="H196" s="410">
        <f aca="true" t="shared" si="5" ref="H196:H203">IF(ISERROR(VLOOKUP(G196,$C$6:$AR$21,31,FALSE))=TRUE,"",CONCATENATE(VLOOKUP(G196,$C$6:$AR$21,38,FALSE),VLOOKUP(G196,$C$6:$AR$21,42,FALSE)))</f>
      </c>
      <c r="I196" s="411"/>
      <c r="J196" s="412"/>
      <c r="K196" s="413"/>
      <c r="L196" s="414"/>
      <c r="M196" s="414"/>
      <c r="N196" s="414"/>
      <c r="O196" s="414"/>
      <c r="P196" s="415"/>
      <c r="Q196" s="413"/>
      <c r="R196" s="414"/>
      <c r="S196" s="414"/>
      <c r="T196" s="414"/>
      <c r="U196" s="414"/>
      <c r="V196" s="415"/>
      <c r="W196" s="407"/>
      <c r="X196" s="408"/>
      <c r="Y196" s="108"/>
      <c r="Z196" s="109"/>
      <c r="AA196" s="109"/>
      <c r="AB196" s="109"/>
      <c r="AC196" s="110"/>
      <c r="AD196" s="110"/>
      <c r="AE196" s="109"/>
      <c r="AF196" s="109"/>
      <c r="AG196" s="109"/>
      <c r="AH196" s="111"/>
      <c r="AI196" s="111"/>
      <c r="AJ196" s="111"/>
      <c r="AK196" s="112"/>
    </row>
    <row r="197" spans="1:37" ht="15.75" customHeight="1">
      <c r="A197" s="106">
        <v>2</v>
      </c>
      <c r="B197" s="106"/>
      <c r="C197" s="107"/>
      <c r="D197" s="107"/>
      <c r="E197" s="407"/>
      <c r="F197" s="408"/>
      <c r="G197" s="409">
        <v>10</v>
      </c>
      <c r="H197" s="410">
        <f t="shared" si="5"/>
      </c>
      <c r="I197" s="411"/>
      <c r="J197" s="412"/>
      <c r="K197" s="413"/>
      <c r="L197" s="414"/>
      <c r="M197" s="414"/>
      <c r="N197" s="414"/>
      <c r="O197" s="414"/>
      <c r="P197" s="415"/>
      <c r="Q197" s="413"/>
      <c r="R197" s="414"/>
      <c r="S197" s="414"/>
      <c r="T197" s="414"/>
      <c r="U197" s="414"/>
      <c r="V197" s="415"/>
      <c r="W197" s="407"/>
      <c r="X197" s="408"/>
      <c r="Y197" s="113"/>
      <c r="Z197" s="105"/>
      <c r="AA197" s="105"/>
      <c r="AB197" s="105"/>
      <c r="AC197" s="114"/>
      <c r="AD197" s="114"/>
      <c r="AE197" s="105"/>
      <c r="AF197" s="105"/>
      <c r="AG197" s="105"/>
      <c r="AH197" s="84"/>
      <c r="AI197" s="84"/>
      <c r="AJ197" s="84"/>
      <c r="AK197" s="115"/>
    </row>
    <row r="198" spans="1:37" ht="15.75" customHeight="1">
      <c r="A198" s="106">
        <v>3</v>
      </c>
      <c r="B198" s="106"/>
      <c r="C198" s="107"/>
      <c r="D198" s="107"/>
      <c r="E198" s="407"/>
      <c r="F198" s="408"/>
      <c r="G198" s="409">
        <v>11</v>
      </c>
      <c r="H198" s="410">
        <f t="shared" si="5"/>
      </c>
      <c r="I198" s="411"/>
      <c r="J198" s="412"/>
      <c r="K198" s="413"/>
      <c r="L198" s="414"/>
      <c r="M198" s="414"/>
      <c r="N198" s="414"/>
      <c r="O198" s="414"/>
      <c r="P198" s="415"/>
      <c r="Q198" s="413"/>
      <c r="R198" s="414"/>
      <c r="S198" s="414"/>
      <c r="T198" s="414"/>
      <c r="U198" s="414"/>
      <c r="V198" s="415"/>
      <c r="W198" s="407"/>
      <c r="X198" s="408"/>
      <c r="Y198" s="113"/>
      <c r="Z198" s="105"/>
      <c r="AA198" s="105"/>
      <c r="AB198" s="105"/>
      <c r="AC198" s="114"/>
      <c r="AD198" s="114"/>
      <c r="AE198" s="105"/>
      <c r="AF198" s="105"/>
      <c r="AG198" s="105"/>
      <c r="AH198" s="84"/>
      <c r="AI198" s="84"/>
      <c r="AJ198" s="84"/>
      <c r="AK198" s="115"/>
    </row>
    <row r="199" spans="1:37" ht="15.75" customHeight="1">
      <c r="A199" s="106">
        <v>4</v>
      </c>
      <c r="B199" s="106"/>
      <c r="C199" s="107"/>
      <c r="D199" s="107"/>
      <c r="E199" s="407"/>
      <c r="F199" s="408"/>
      <c r="G199" s="409">
        <v>12</v>
      </c>
      <c r="H199" s="410">
        <f t="shared" si="5"/>
      </c>
      <c r="I199" s="411"/>
      <c r="J199" s="412"/>
      <c r="K199" s="413"/>
      <c r="L199" s="414"/>
      <c r="M199" s="414"/>
      <c r="N199" s="414"/>
      <c r="O199" s="414"/>
      <c r="P199" s="415"/>
      <c r="Q199" s="413"/>
      <c r="R199" s="414"/>
      <c r="S199" s="414"/>
      <c r="T199" s="414"/>
      <c r="U199" s="414"/>
      <c r="V199" s="415"/>
      <c r="W199" s="407"/>
      <c r="X199" s="408"/>
      <c r="Y199" s="116"/>
      <c r="Z199" s="103"/>
      <c r="AA199" s="103"/>
      <c r="AB199" s="103"/>
      <c r="AC199" s="117"/>
      <c r="AD199" s="117"/>
      <c r="AE199" s="103"/>
      <c r="AF199" s="103"/>
      <c r="AG199" s="103"/>
      <c r="AH199" s="81"/>
      <c r="AI199" s="81"/>
      <c r="AJ199" s="81"/>
      <c r="AK199" s="83"/>
    </row>
    <row r="200" spans="1:37" ht="15.75" customHeight="1">
      <c r="A200" s="106">
        <v>5</v>
      </c>
      <c r="B200" s="106"/>
      <c r="C200" s="107"/>
      <c r="D200" s="107"/>
      <c r="E200" s="407"/>
      <c r="F200" s="408"/>
      <c r="G200" s="409">
        <v>13</v>
      </c>
      <c r="H200" s="410">
        <f t="shared" si="5"/>
      </c>
      <c r="I200" s="411"/>
      <c r="J200" s="412"/>
      <c r="K200" s="413"/>
      <c r="L200" s="414"/>
      <c r="M200" s="414"/>
      <c r="N200" s="414"/>
      <c r="O200" s="414"/>
      <c r="P200" s="415"/>
      <c r="Q200" s="413"/>
      <c r="R200" s="414"/>
      <c r="S200" s="414"/>
      <c r="T200" s="414"/>
      <c r="U200" s="414"/>
      <c r="V200" s="415"/>
      <c r="W200" s="407"/>
      <c r="X200" s="408"/>
      <c r="Y200" s="108"/>
      <c r="Z200" s="109"/>
      <c r="AA200" s="109"/>
      <c r="AB200" s="109"/>
      <c r="AC200" s="110"/>
      <c r="AD200" s="110"/>
      <c r="AE200" s="109"/>
      <c r="AF200" s="109"/>
      <c r="AG200" s="109"/>
      <c r="AH200" s="111"/>
      <c r="AI200" s="111"/>
      <c r="AJ200" s="111"/>
      <c r="AK200" s="112"/>
    </row>
    <row r="201" spans="1:37" ht="15.75" customHeight="1">
      <c r="A201" s="106">
        <v>6</v>
      </c>
      <c r="B201" s="106"/>
      <c r="C201" s="107"/>
      <c r="D201" s="107"/>
      <c r="E201" s="407"/>
      <c r="F201" s="408"/>
      <c r="G201" s="409">
        <v>14</v>
      </c>
      <c r="H201" s="410">
        <f t="shared" si="5"/>
      </c>
      <c r="I201" s="411"/>
      <c r="J201" s="412"/>
      <c r="K201" s="413"/>
      <c r="L201" s="414"/>
      <c r="M201" s="414"/>
      <c r="N201" s="414"/>
      <c r="O201" s="414"/>
      <c r="P201" s="415"/>
      <c r="Q201" s="413"/>
      <c r="R201" s="414"/>
      <c r="S201" s="414"/>
      <c r="T201" s="414"/>
      <c r="U201" s="414"/>
      <c r="V201" s="415"/>
      <c r="W201" s="407"/>
      <c r="X201" s="408"/>
      <c r="Y201" s="416" t="s">
        <v>176</v>
      </c>
      <c r="Z201" s="417"/>
      <c r="AA201" s="417"/>
      <c r="AB201" s="417"/>
      <c r="AC201" s="417"/>
      <c r="AD201" s="417"/>
      <c r="AE201" s="417"/>
      <c r="AF201" s="417"/>
      <c r="AG201" s="417"/>
      <c r="AH201" s="417"/>
      <c r="AI201" s="417"/>
      <c r="AJ201" s="417"/>
      <c r="AK201" s="418"/>
    </row>
    <row r="202" spans="1:37" ht="15.75" customHeight="1">
      <c r="A202" s="106">
        <v>7</v>
      </c>
      <c r="B202" s="106"/>
      <c r="C202" s="107"/>
      <c r="D202" s="107"/>
      <c r="E202" s="407"/>
      <c r="F202" s="408"/>
      <c r="G202" s="409">
        <v>15</v>
      </c>
      <c r="H202" s="410">
        <f t="shared" si="5"/>
      </c>
      <c r="I202" s="411"/>
      <c r="J202" s="412"/>
      <c r="K202" s="413"/>
      <c r="L202" s="414"/>
      <c r="M202" s="414"/>
      <c r="N202" s="414"/>
      <c r="O202" s="414"/>
      <c r="P202" s="415"/>
      <c r="Q202" s="413"/>
      <c r="R202" s="414"/>
      <c r="S202" s="414"/>
      <c r="T202" s="414"/>
      <c r="U202" s="414"/>
      <c r="V202" s="415"/>
      <c r="W202" s="407"/>
      <c r="X202" s="408"/>
      <c r="Y202" s="116"/>
      <c r="Z202" s="103"/>
      <c r="AA202" s="103"/>
      <c r="AB202" s="103"/>
      <c r="AC202" s="117"/>
      <c r="AD202" s="82"/>
      <c r="AE202" s="81"/>
      <c r="AF202" s="81"/>
      <c r="AG202" s="81"/>
      <c r="AH202" s="81"/>
      <c r="AI202" s="81"/>
      <c r="AJ202" s="81"/>
      <c r="AK202" s="83"/>
    </row>
    <row r="203" spans="1:37" ht="15.75" customHeight="1">
      <c r="A203" s="106">
        <v>8</v>
      </c>
      <c r="B203" s="106"/>
      <c r="C203" s="107"/>
      <c r="D203" s="107"/>
      <c r="E203" s="460"/>
      <c r="F203" s="460"/>
      <c r="G203" s="461">
        <v>16</v>
      </c>
      <c r="H203" s="461">
        <f t="shared" si="5"/>
      </c>
      <c r="I203" s="462"/>
      <c r="J203" s="462"/>
      <c r="K203" s="463"/>
      <c r="L203" s="463"/>
      <c r="M203" s="463"/>
      <c r="N203" s="463"/>
      <c r="O203" s="463"/>
      <c r="P203" s="463"/>
      <c r="Q203" s="463"/>
      <c r="R203" s="463"/>
      <c r="S203" s="463"/>
      <c r="T203" s="463"/>
      <c r="U203" s="463"/>
      <c r="V203" s="463"/>
      <c r="W203" s="460"/>
      <c r="X203" s="460"/>
      <c r="Y203" s="108"/>
      <c r="Z203" s="109"/>
      <c r="AA203" s="109"/>
      <c r="AB203" s="109"/>
      <c r="AC203" s="110"/>
      <c r="AD203" s="118"/>
      <c r="AE203" s="111"/>
      <c r="AF203" s="111"/>
      <c r="AG203" s="111"/>
      <c r="AH203" s="111"/>
      <c r="AI203" s="111"/>
      <c r="AJ203" s="111"/>
      <c r="AK203" s="112"/>
    </row>
    <row r="204" spans="1:37" ht="15.75" customHeight="1">
      <c r="A204" s="224"/>
      <c r="B204" s="224"/>
      <c r="C204" s="225"/>
      <c r="D204" s="225"/>
      <c r="E204" s="226"/>
      <c r="F204" s="226"/>
      <c r="G204" s="227"/>
      <c r="H204" s="227"/>
      <c r="I204" s="224"/>
      <c r="J204" s="224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6"/>
      <c r="X204" s="226"/>
      <c r="Y204" s="105"/>
      <c r="Z204" s="105"/>
      <c r="AA204" s="105"/>
      <c r="AB204" s="105"/>
      <c r="AC204" s="114"/>
      <c r="AD204" s="222"/>
      <c r="AE204" s="84"/>
      <c r="AF204" s="84"/>
      <c r="AG204" s="84"/>
      <c r="AH204" s="84"/>
      <c r="AI204" s="84"/>
      <c r="AJ204" s="84"/>
      <c r="AK204" s="115"/>
    </row>
    <row r="205" spans="1:37" ht="15.75" customHeight="1">
      <c r="A205" s="224"/>
      <c r="B205" s="224"/>
      <c r="C205" s="225"/>
      <c r="D205" s="225"/>
      <c r="E205" s="226"/>
      <c r="F205" s="226"/>
      <c r="G205" s="227"/>
      <c r="H205" s="227"/>
      <c r="I205" s="224"/>
      <c r="J205" s="224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6"/>
      <c r="X205" s="226"/>
      <c r="Y205" s="105"/>
      <c r="Z205" s="105"/>
      <c r="AA205" s="105"/>
      <c r="AB205" s="105"/>
      <c r="AC205" s="114"/>
      <c r="AD205" s="222"/>
      <c r="AE205" s="84"/>
      <c r="AF205" s="84"/>
      <c r="AG205" s="84"/>
      <c r="AH205" s="84"/>
      <c r="AI205" s="84"/>
      <c r="AJ205" s="84"/>
      <c r="AK205" s="115"/>
    </row>
    <row r="206" spans="1:37" ht="15.75" customHeight="1">
      <c r="A206" s="224"/>
      <c r="B206" s="224"/>
      <c r="C206" s="225"/>
      <c r="D206" s="225"/>
      <c r="E206" s="226"/>
      <c r="F206" s="226"/>
      <c r="G206" s="227"/>
      <c r="H206" s="227"/>
      <c r="I206" s="224"/>
      <c r="J206" s="224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6"/>
      <c r="X206" s="226"/>
      <c r="Y206" s="105"/>
      <c r="Z206" s="105"/>
      <c r="AA206" s="105"/>
      <c r="AB206" s="105"/>
      <c r="AC206" s="114"/>
      <c r="AD206" s="222"/>
      <c r="AE206" s="84"/>
      <c r="AF206" s="84"/>
      <c r="AG206" s="84"/>
      <c r="AH206" s="84"/>
      <c r="AI206" s="84"/>
      <c r="AJ206" s="84"/>
      <c r="AK206" s="115"/>
    </row>
    <row r="207" spans="1:37" ht="15.75" customHeight="1">
      <c r="A207" s="224"/>
      <c r="B207" s="224"/>
      <c r="C207" s="225"/>
      <c r="D207" s="225"/>
      <c r="E207" s="226"/>
      <c r="F207" s="226"/>
      <c r="G207" s="227"/>
      <c r="H207" s="227"/>
      <c r="I207" s="224"/>
      <c r="J207" s="224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6"/>
      <c r="X207" s="226"/>
      <c r="Y207" s="105"/>
      <c r="Z207" s="105"/>
      <c r="AA207" s="105"/>
      <c r="AB207" s="105"/>
      <c r="AC207" s="114"/>
      <c r="AD207" s="222"/>
      <c r="AE207" s="84"/>
      <c r="AF207" s="84"/>
      <c r="AG207" s="84"/>
      <c r="AH207" s="84"/>
      <c r="AI207" s="84"/>
      <c r="AJ207" s="84"/>
      <c r="AK207" s="115"/>
    </row>
    <row r="208" spans="1:37" ht="13.5" customHeight="1">
      <c r="A208" s="224"/>
      <c r="B208" s="224"/>
      <c r="C208" s="225"/>
      <c r="D208" s="225"/>
      <c r="E208" s="226"/>
      <c r="F208" s="226"/>
      <c r="G208" s="227"/>
      <c r="H208" s="227"/>
      <c r="I208" s="224"/>
      <c r="J208" s="224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6"/>
      <c r="X208" s="226"/>
      <c r="Y208" s="105"/>
      <c r="Z208" s="105"/>
      <c r="AA208" s="105"/>
      <c r="AB208" s="105"/>
      <c r="AC208" s="114"/>
      <c r="AD208" s="222"/>
      <c r="AE208" s="84"/>
      <c r="AF208" s="84"/>
      <c r="AG208" s="84"/>
      <c r="AH208" s="84"/>
      <c r="AI208" s="84"/>
      <c r="AJ208" s="84"/>
      <c r="AK208" s="115"/>
    </row>
    <row r="209" spans="1:37" ht="13.5" customHeight="1">
      <c r="A209" s="224"/>
      <c r="B209" s="224"/>
      <c r="C209" s="225"/>
      <c r="D209" s="225"/>
      <c r="E209" s="226"/>
      <c r="F209" s="226"/>
      <c r="G209" s="227"/>
      <c r="H209" s="227"/>
      <c r="I209" s="224"/>
      <c r="J209" s="224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6"/>
      <c r="X209" s="226"/>
      <c r="Y209" s="105"/>
      <c r="Z209" s="105"/>
      <c r="AA209" s="105"/>
      <c r="AB209" s="105"/>
      <c r="AC209" s="114"/>
      <c r="AD209" s="222"/>
      <c r="AE209" s="84"/>
      <c r="AF209" s="84"/>
      <c r="AG209" s="84"/>
      <c r="AH209" s="84"/>
      <c r="AI209" s="84"/>
      <c r="AJ209" s="84"/>
      <c r="AK209" s="115"/>
    </row>
    <row r="210" spans="1:37" ht="20.25">
      <c r="A210" s="80" t="s">
        <v>178</v>
      </c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81"/>
      <c r="AA210" s="81"/>
      <c r="AB210" s="81"/>
      <c r="AC210" s="82"/>
      <c r="AD210" s="82"/>
      <c r="AE210" s="81"/>
      <c r="AF210" s="81"/>
      <c r="AG210" s="81"/>
      <c r="AH210" s="81"/>
      <c r="AI210" s="81"/>
      <c r="AJ210" s="81"/>
      <c r="AK210" s="83"/>
    </row>
    <row r="211" spans="1:37" ht="12.75">
      <c r="A211" s="428" t="s">
        <v>148</v>
      </c>
      <c r="B211" s="429"/>
      <c r="C211" s="341" t="s">
        <v>319</v>
      </c>
      <c r="D211" s="342"/>
      <c r="E211" s="428" t="s">
        <v>149</v>
      </c>
      <c r="F211" s="430"/>
      <c r="G211" s="429"/>
      <c r="H211" s="411" t="s">
        <v>360</v>
      </c>
      <c r="I211" s="431"/>
      <c r="J211" s="431"/>
      <c r="K211" s="431"/>
      <c r="L211" s="431"/>
      <c r="M211" s="431"/>
      <c r="N211" s="431"/>
      <c r="O211" s="431"/>
      <c r="P211" s="431"/>
      <c r="Q211" s="431"/>
      <c r="R211" s="431"/>
      <c r="S211" s="431"/>
      <c r="T211" s="431"/>
      <c r="U211" s="431"/>
      <c r="V211" s="412"/>
      <c r="W211" s="428" t="s">
        <v>150</v>
      </c>
      <c r="X211" s="430"/>
      <c r="Y211" s="429"/>
      <c r="Z211" s="432" t="s">
        <v>368</v>
      </c>
      <c r="AA211" s="433"/>
      <c r="AB211" s="433"/>
      <c r="AC211" s="434"/>
      <c r="AD211" s="434"/>
      <c r="AE211" s="434"/>
      <c r="AF211" s="434"/>
      <c r="AG211" s="434"/>
      <c r="AH211" s="434"/>
      <c r="AI211" s="434"/>
      <c r="AJ211" s="434"/>
      <c r="AK211" s="435"/>
    </row>
    <row r="212" spans="1:37" ht="12.75">
      <c r="A212" s="428" t="s">
        <v>179</v>
      </c>
      <c r="B212" s="429"/>
      <c r="C212" s="377" t="s">
        <v>193</v>
      </c>
      <c r="D212" s="378"/>
      <c r="E212" s="428" t="s">
        <v>151</v>
      </c>
      <c r="F212" s="430"/>
      <c r="G212" s="429"/>
      <c r="H212" s="436" t="s">
        <v>207</v>
      </c>
      <c r="I212" s="437"/>
      <c r="J212" s="438"/>
      <c r="K212" s="428" t="s">
        <v>152</v>
      </c>
      <c r="L212" s="430"/>
      <c r="M212" s="430"/>
      <c r="N212" s="430"/>
      <c r="O212" s="430"/>
      <c r="P212" s="429"/>
      <c r="Q212" s="439"/>
      <c r="R212" s="440"/>
      <c r="S212" s="441"/>
      <c r="T212" s="442" t="s">
        <v>153</v>
      </c>
      <c r="U212" s="443"/>
      <c r="V212" s="444"/>
      <c r="W212" s="445"/>
      <c r="X212" s="446"/>
      <c r="Y212" s="446"/>
      <c r="Z212" s="446"/>
      <c r="AA212" s="446"/>
      <c r="AB212" s="446"/>
      <c r="AC212" s="446"/>
      <c r="AD212" s="446"/>
      <c r="AE212" s="446"/>
      <c r="AF212" s="446"/>
      <c r="AG212" s="446"/>
      <c r="AH212" s="446"/>
      <c r="AI212" s="446"/>
      <c r="AJ212" s="446"/>
      <c r="AK212" s="447"/>
    </row>
    <row r="213" spans="1:37" ht="12.75">
      <c r="A213" s="85" t="s">
        <v>154</v>
      </c>
      <c r="B213" s="85" t="s">
        <v>155</v>
      </c>
      <c r="C213" s="85" t="s">
        <v>156</v>
      </c>
      <c r="D213" s="86" t="s">
        <v>157</v>
      </c>
      <c r="E213" s="448"/>
      <c r="F213" s="449"/>
      <c r="G213" s="448"/>
      <c r="H213" s="449"/>
      <c r="I213" s="448"/>
      <c r="J213" s="449"/>
      <c r="K213" s="448"/>
      <c r="L213" s="449"/>
      <c r="M213" s="448"/>
      <c r="N213" s="449"/>
      <c r="O213" s="448"/>
      <c r="P213" s="449"/>
      <c r="Q213" s="448"/>
      <c r="R213" s="449"/>
      <c r="S213" s="448"/>
      <c r="T213" s="449"/>
      <c r="U213" s="448"/>
      <c r="V213" s="449"/>
      <c r="W213" s="448"/>
      <c r="X213" s="449"/>
      <c r="Y213" s="448"/>
      <c r="Z213" s="449"/>
      <c r="AA213" s="448"/>
      <c r="AB213" s="449"/>
      <c r="AC213" s="450" t="s">
        <v>166</v>
      </c>
      <c r="AD213" s="451"/>
      <c r="AE213" s="452" t="s">
        <v>180</v>
      </c>
      <c r="AF213" s="452" t="s">
        <v>181</v>
      </c>
      <c r="AG213" s="452" t="s">
        <v>182</v>
      </c>
      <c r="AH213" s="454" t="s">
        <v>167</v>
      </c>
      <c r="AI213" s="87"/>
      <c r="AJ213" s="456" t="s">
        <v>168</v>
      </c>
      <c r="AK213" s="457"/>
    </row>
    <row r="214" spans="1:37" ht="12.75">
      <c r="A214" s="88"/>
      <c r="B214" s="88"/>
      <c r="C214" s="89"/>
      <c r="D214" s="90"/>
      <c r="E214" s="425" t="s">
        <v>169</v>
      </c>
      <c r="F214" s="420"/>
      <c r="G214" s="425" t="s">
        <v>169</v>
      </c>
      <c r="H214" s="420"/>
      <c r="I214" s="425" t="s">
        <v>169</v>
      </c>
      <c r="J214" s="420"/>
      <c r="K214" s="425" t="s">
        <v>169</v>
      </c>
      <c r="L214" s="420"/>
      <c r="M214" s="425" t="s">
        <v>169</v>
      </c>
      <c r="N214" s="420"/>
      <c r="O214" s="425" t="s">
        <v>169</v>
      </c>
      <c r="P214" s="420"/>
      <c r="Q214" s="425" t="s">
        <v>169</v>
      </c>
      <c r="R214" s="420"/>
      <c r="S214" s="425" t="s">
        <v>169</v>
      </c>
      <c r="T214" s="420"/>
      <c r="U214" s="425" t="s">
        <v>169</v>
      </c>
      <c r="V214" s="420"/>
      <c r="W214" s="425" t="s">
        <v>169</v>
      </c>
      <c r="X214" s="420"/>
      <c r="Y214" s="425" t="s">
        <v>169</v>
      </c>
      <c r="Z214" s="420"/>
      <c r="AA214" s="425" t="s">
        <v>169</v>
      </c>
      <c r="AB214" s="420"/>
      <c r="AC214" s="426" t="s">
        <v>169</v>
      </c>
      <c r="AD214" s="427"/>
      <c r="AE214" s="453"/>
      <c r="AF214" s="453"/>
      <c r="AG214" s="453"/>
      <c r="AH214" s="455"/>
      <c r="AI214" s="91"/>
      <c r="AJ214" s="458"/>
      <c r="AK214" s="459"/>
    </row>
    <row r="215" spans="1:37" ht="12.75">
      <c r="A215" s="88"/>
      <c r="B215" s="168"/>
      <c r="C215" s="120" t="s">
        <v>414</v>
      </c>
      <c r="D215" s="370" t="s">
        <v>339</v>
      </c>
      <c r="E215" s="371"/>
      <c r="F215" s="371"/>
      <c r="G215" s="371"/>
      <c r="H215" s="372"/>
      <c r="I215" s="421"/>
      <c r="J215" s="422"/>
      <c r="K215" s="421"/>
      <c r="L215" s="422"/>
      <c r="M215" s="421"/>
      <c r="N215" s="422"/>
      <c r="O215" s="421"/>
      <c r="P215" s="422"/>
      <c r="Q215" s="421"/>
      <c r="R215" s="422"/>
      <c r="S215" s="421"/>
      <c r="T215" s="422"/>
      <c r="U215" s="421"/>
      <c r="V215" s="422"/>
      <c r="W215" s="421"/>
      <c r="X215" s="422"/>
      <c r="Y215" s="421"/>
      <c r="Z215" s="422"/>
      <c r="AA215" s="421"/>
      <c r="AB215" s="422"/>
      <c r="AC215" s="423"/>
      <c r="AD215" s="424"/>
      <c r="AE215" s="92"/>
      <c r="AF215" s="92"/>
      <c r="AG215" s="92"/>
      <c r="AH215" s="93"/>
      <c r="AI215" s="94"/>
      <c r="AJ215" s="94"/>
      <c r="AK215" s="94"/>
    </row>
    <row r="216" spans="1:37" ht="15.75">
      <c r="A216" s="95">
        <v>1</v>
      </c>
      <c r="B216" s="119">
        <v>11</v>
      </c>
      <c r="C216" s="119" t="s">
        <v>657</v>
      </c>
      <c r="D216" s="122" t="s">
        <v>19</v>
      </c>
      <c r="E216" s="421"/>
      <c r="F216" s="422"/>
      <c r="G216" s="421"/>
      <c r="H216" s="422"/>
      <c r="I216" s="421"/>
      <c r="J216" s="422"/>
      <c r="K216" s="421"/>
      <c r="L216" s="422"/>
      <c r="M216" s="421"/>
      <c r="N216" s="422"/>
      <c r="O216" s="421"/>
      <c r="P216" s="422"/>
      <c r="Q216" s="421"/>
      <c r="R216" s="422"/>
      <c r="S216" s="421"/>
      <c r="T216" s="422"/>
      <c r="U216" s="421"/>
      <c r="V216" s="422"/>
      <c r="W216" s="421"/>
      <c r="X216" s="422"/>
      <c r="Y216" s="421"/>
      <c r="Z216" s="422"/>
      <c r="AA216" s="421"/>
      <c r="AB216" s="422"/>
      <c r="AC216" s="423"/>
      <c r="AD216" s="424"/>
      <c r="AE216" s="92"/>
      <c r="AF216" s="92"/>
      <c r="AG216" s="92"/>
      <c r="AH216" s="96"/>
      <c r="AI216" s="94"/>
      <c r="AJ216" s="94"/>
      <c r="AK216" s="94"/>
    </row>
    <row r="217" spans="1:37" ht="15.75">
      <c r="A217" s="95"/>
      <c r="B217" s="119"/>
      <c r="C217" s="122"/>
      <c r="D217" s="122"/>
      <c r="E217" s="421"/>
      <c r="F217" s="422"/>
      <c r="G217" s="421"/>
      <c r="H217" s="422"/>
      <c r="I217" s="421"/>
      <c r="J217" s="422"/>
      <c r="K217" s="421"/>
      <c r="L217" s="422"/>
      <c r="M217" s="421"/>
      <c r="N217" s="422"/>
      <c r="O217" s="421"/>
      <c r="P217" s="422"/>
      <c r="Q217" s="421"/>
      <c r="R217" s="422"/>
      <c r="S217" s="421"/>
      <c r="T217" s="422"/>
      <c r="U217" s="421"/>
      <c r="V217" s="422"/>
      <c r="W217" s="421"/>
      <c r="X217" s="422"/>
      <c r="Y217" s="421"/>
      <c r="Z217" s="422"/>
      <c r="AA217" s="421"/>
      <c r="AB217" s="422"/>
      <c r="AC217" s="423"/>
      <c r="AD217" s="424"/>
      <c r="AE217" s="92"/>
      <c r="AF217" s="92"/>
      <c r="AG217" s="92"/>
      <c r="AH217" s="96"/>
      <c r="AI217" s="94"/>
      <c r="AJ217" s="94"/>
      <c r="AK217" s="94"/>
    </row>
    <row r="218" spans="1:37" ht="15.75">
      <c r="A218" s="95"/>
      <c r="B218" s="119"/>
      <c r="C218" s="119"/>
      <c r="D218" s="119"/>
      <c r="E218" s="421"/>
      <c r="F218" s="422"/>
      <c r="G218" s="421"/>
      <c r="H218" s="422"/>
      <c r="I218" s="421"/>
      <c r="J218" s="422"/>
      <c r="K218" s="421"/>
      <c r="L218" s="422"/>
      <c r="M218" s="421"/>
      <c r="N218" s="422"/>
      <c r="O218" s="421"/>
      <c r="P218" s="422"/>
      <c r="Q218" s="421"/>
      <c r="R218" s="422"/>
      <c r="S218" s="421"/>
      <c r="T218" s="422"/>
      <c r="U218" s="421"/>
      <c r="V218" s="422"/>
      <c r="W218" s="421"/>
      <c r="X218" s="422"/>
      <c r="Y218" s="421"/>
      <c r="Z218" s="422"/>
      <c r="AA218" s="421"/>
      <c r="AB218" s="422"/>
      <c r="AC218" s="423"/>
      <c r="AD218" s="424"/>
      <c r="AE218" s="92"/>
      <c r="AF218" s="92"/>
      <c r="AG218" s="92"/>
      <c r="AH218" s="96"/>
      <c r="AI218" s="94"/>
      <c r="AJ218" s="94"/>
      <c r="AK218" s="94"/>
    </row>
    <row r="219" spans="1:37" ht="15.75">
      <c r="A219" s="95"/>
      <c r="B219" s="119"/>
      <c r="C219" s="119"/>
      <c r="D219" s="119"/>
      <c r="E219" s="421"/>
      <c r="F219" s="422"/>
      <c r="G219" s="421"/>
      <c r="H219" s="422"/>
      <c r="I219" s="421"/>
      <c r="J219" s="422"/>
      <c r="K219" s="421"/>
      <c r="L219" s="422"/>
      <c r="M219" s="421"/>
      <c r="N219" s="422"/>
      <c r="O219" s="421"/>
      <c r="P219" s="422"/>
      <c r="Q219" s="421"/>
      <c r="R219" s="422"/>
      <c r="S219" s="421"/>
      <c r="T219" s="422"/>
      <c r="U219" s="421"/>
      <c r="V219" s="422"/>
      <c r="W219" s="421"/>
      <c r="X219" s="422"/>
      <c r="Y219" s="421"/>
      <c r="Z219" s="422"/>
      <c r="AA219" s="421"/>
      <c r="AB219" s="422"/>
      <c r="AC219" s="423"/>
      <c r="AD219" s="424"/>
      <c r="AE219" s="92"/>
      <c r="AF219" s="92"/>
      <c r="AG219" s="92"/>
      <c r="AH219" s="96"/>
      <c r="AI219" s="94"/>
      <c r="AJ219" s="94"/>
      <c r="AK219" s="94"/>
    </row>
    <row r="220" spans="1:37" ht="15.75">
      <c r="A220" s="95"/>
      <c r="B220" s="119"/>
      <c r="C220" s="119"/>
      <c r="D220" s="119"/>
      <c r="E220" s="421"/>
      <c r="F220" s="422"/>
      <c r="G220" s="421"/>
      <c r="H220" s="422"/>
      <c r="I220" s="421"/>
      <c r="J220" s="422"/>
      <c r="K220" s="421"/>
      <c r="L220" s="422"/>
      <c r="M220" s="421"/>
      <c r="N220" s="422"/>
      <c r="O220" s="421"/>
      <c r="P220" s="422"/>
      <c r="Q220" s="421"/>
      <c r="R220" s="422"/>
      <c r="S220" s="421"/>
      <c r="T220" s="422"/>
      <c r="U220" s="421"/>
      <c r="V220" s="422"/>
      <c r="W220" s="421"/>
      <c r="X220" s="422"/>
      <c r="Y220" s="421"/>
      <c r="Z220" s="422"/>
      <c r="AA220" s="421"/>
      <c r="AB220" s="422"/>
      <c r="AC220" s="423"/>
      <c r="AD220" s="424"/>
      <c r="AE220" s="92"/>
      <c r="AF220" s="92"/>
      <c r="AG220" s="92"/>
      <c r="AH220" s="96"/>
      <c r="AI220" s="94"/>
      <c r="AJ220" s="94"/>
      <c r="AK220" s="94"/>
    </row>
    <row r="221" spans="1:37" ht="15.75">
      <c r="A221" s="95"/>
      <c r="B221" s="119"/>
      <c r="C221" s="119"/>
      <c r="D221" s="119"/>
      <c r="E221" s="421"/>
      <c r="F221" s="422"/>
      <c r="G221" s="421"/>
      <c r="H221" s="422"/>
      <c r="I221" s="421"/>
      <c r="J221" s="422"/>
      <c r="K221" s="421"/>
      <c r="L221" s="422"/>
      <c r="M221" s="421"/>
      <c r="N221" s="422"/>
      <c r="O221" s="421"/>
      <c r="P221" s="422"/>
      <c r="Q221" s="421"/>
      <c r="R221" s="422"/>
      <c r="S221" s="421"/>
      <c r="T221" s="422"/>
      <c r="U221" s="421"/>
      <c r="V221" s="422"/>
      <c r="W221" s="421"/>
      <c r="X221" s="422"/>
      <c r="Y221" s="421"/>
      <c r="Z221" s="422"/>
      <c r="AA221" s="421"/>
      <c r="AB221" s="422"/>
      <c r="AC221" s="423"/>
      <c r="AD221" s="424"/>
      <c r="AE221" s="92"/>
      <c r="AF221" s="92"/>
      <c r="AG221" s="92"/>
      <c r="AH221" s="96"/>
      <c r="AI221" s="94"/>
      <c r="AJ221" s="94"/>
      <c r="AK221" s="94"/>
    </row>
    <row r="222" spans="1:37" ht="15.75">
      <c r="A222" s="95"/>
      <c r="B222" s="119"/>
      <c r="C222" s="119"/>
      <c r="D222" s="119"/>
      <c r="E222" s="421"/>
      <c r="F222" s="422"/>
      <c r="G222" s="421"/>
      <c r="H222" s="422"/>
      <c r="I222" s="421"/>
      <c r="J222" s="422"/>
      <c r="K222" s="421"/>
      <c r="L222" s="422"/>
      <c r="M222" s="421"/>
      <c r="N222" s="422"/>
      <c r="O222" s="421"/>
      <c r="P222" s="422"/>
      <c r="Q222" s="421"/>
      <c r="R222" s="422"/>
      <c r="S222" s="421"/>
      <c r="T222" s="422"/>
      <c r="U222" s="421"/>
      <c r="V222" s="422"/>
      <c r="W222" s="421"/>
      <c r="X222" s="422"/>
      <c r="Y222" s="421"/>
      <c r="Z222" s="422"/>
      <c r="AA222" s="421"/>
      <c r="AB222" s="422"/>
      <c r="AC222" s="423"/>
      <c r="AD222" s="424"/>
      <c r="AE222" s="92"/>
      <c r="AF222" s="92"/>
      <c r="AG222" s="92"/>
      <c r="AH222" s="96"/>
      <c r="AI222" s="94"/>
      <c r="AJ222" s="94"/>
      <c r="AK222" s="94"/>
    </row>
    <row r="223" spans="1:37" ht="15.75">
      <c r="A223" s="95"/>
      <c r="B223" s="119"/>
      <c r="C223" s="119"/>
      <c r="D223" s="119"/>
      <c r="E223" s="421"/>
      <c r="F223" s="422"/>
      <c r="G223" s="421"/>
      <c r="H223" s="422"/>
      <c r="I223" s="421"/>
      <c r="J223" s="422"/>
      <c r="K223" s="421"/>
      <c r="L223" s="422"/>
      <c r="M223" s="421"/>
      <c r="N223" s="422"/>
      <c r="O223" s="421"/>
      <c r="P223" s="422"/>
      <c r="Q223" s="421"/>
      <c r="R223" s="422"/>
      <c r="S223" s="421"/>
      <c r="T223" s="422"/>
      <c r="U223" s="421"/>
      <c r="V223" s="422"/>
      <c r="W223" s="421"/>
      <c r="X223" s="422"/>
      <c r="Y223" s="421"/>
      <c r="Z223" s="422"/>
      <c r="AA223" s="421"/>
      <c r="AB223" s="422"/>
      <c r="AC223" s="423"/>
      <c r="AD223" s="424"/>
      <c r="AE223" s="92"/>
      <c r="AF223" s="92"/>
      <c r="AG223" s="92"/>
      <c r="AH223" s="96"/>
      <c r="AI223" s="94"/>
      <c r="AJ223" s="94"/>
      <c r="AK223" s="94"/>
    </row>
    <row r="224" spans="1:37" ht="15.75">
      <c r="A224" s="95"/>
      <c r="B224" s="119"/>
      <c r="C224" s="119"/>
      <c r="D224" s="119"/>
      <c r="E224" s="421"/>
      <c r="F224" s="422"/>
      <c r="G224" s="421"/>
      <c r="H224" s="422"/>
      <c r="I224" s="421"/>
      <c r="J224" s="422"/>
      <c r="K224" s="421"/>
      <c r="L224" s="422"/>
      <c r="M224" s="421"/>
      <c r="N224" s="422"/>
      <c r="O224" s="421"/>
      <c r="P224" s="422"/>
      <c r="Q224" s="421"/>
      <c r="R224" s="422"/>
      <c r="S224" s="421"/>
      <c r="T224" s="422"/>
      <c r="U224" s="421"/>
      <c r="V224" s="422"/>
      <c r="W224" s="421"/>
      <c r="X224" s="422"/>
      <c r="Y224" s="421"/>
      <c r="Z224" s="422"/>
      <c r="AA224" s="421"/>
      <c r="AB224" s="422"/>
      <c r="AC224" s="423"/>
      <c r="AD224" s="424"/>
      <c r="AE224" s="92"/>
      <c r="AF224" s="92"/>
      <c r="AG224" s="92"/>
      <c r="AH224" s="96"/>
      <c r="AI224" s="94"/>
      <c r="AJ224" s="94"/>
      <c r="AK224" s="94"/>
    </row>
    <row r="225" spans="1:37" ht="15.75">
      <c r="A225" s="95"/>
      <c r="B225" s="119"/>
      <c r="C225" s="119"/>
      <c r="D225" s="119"/>
      <c r="E225" s="421"/>
      <c r="F225" s="422"/>
      <c r="G225" s="421"/>
      <c r="H225" s="422"/>
      <c r="I225" s="421"/>
      <c r="J225" s="422"/>
      <c r="K225" s="421"/>
      <c r="L225" s="422"/>
      <c r="M225" s="421"/>
      <c r="N225" s="422"/>
      <c r="O225" s="421"/>
      <c r="P225" s="422"/>
      <c r="Q225" s="421"/>
      <c r="R225" s="422"/>
      <c r="S225" s="421"/>
      <c r="T225" s="422"/>
      <c r="U225" s="421"/>
      <c r="V225" s="422"/>
      <c r="W225" s="421"/>
      <c r="X225" s="422"/>
      <c r="Y225" s="421"/>
      <c r="Z225" s="422"/>
      <c r="AA225" s="421"/>
      <c r="AB225" s="422"/>
      <c r="AC225" s="423"/>
      <c r="AD225" s="424"/>
      <c r="AE225" s="92"/>
      <c r="AF225" s="92"/>
      <c r="AG225" s="92"/>
      <c r="AH225" s="96"/>
      <c r="AI225" s="94"/>
      <c r="AJ225" s="94"/>
      <c r="AK225" s="94"/>
    </row>
    <row r="226" spans="1:37" ht="15.75">
      <c r="A226" s="95"/>
      <c r="B226" s="119"/>
      <c r="C226" s="119"/>
      <c r="D226" s="119"/>
      <c r="E226" s="421"/>
      <c r="F226" s="422"/>
      <c r="G226" s="421"/>
      <c r="H226" s="422"/>
      <c r="I226" s="421"/>
      <c r="J226" s="422"/>
      <c r="K226" s="421"/>
      <c r="L226" s="422"/>
      <c r="M226" s="421"/>
      <c r="N226" s="422"/>
      <c r="O226" s="421"/>
      <c r="P226" s="422"/>
      <c r="Q226" s="421"/>
      <c r="R226" s="422"/>
      <c r="S226" s="421"/>
      <c r="T226" s="422"/>
      <c r="U226" s="421"/>
      <c r="V226" s="422"/>
      <c r="W226" s="421"/>
      <c r="X226" s="422"/>
      <c r="Y226" s="421"/>
      <c r="Z226" s="422"/>
      <c r="AA226" s="421"/>
      <c r="AB226" s="422"/>
      <c r="AC226" s="423"/>
      <c r="AD226" s="424"/>
      <c r="AE226" s="92"/>
      <c r="AF226" s="92"/>
      <c r="AG226" s="92"/>
      <c r="AH226" s="96"/>
      <c r="AI226" s="94"/>
      <c r="AJ226" s="94"/>
      <c r="AK226" s="94"/>
    </row>
    <row r="227" spans="1:37" ht="15.75">
      <c r="A227" s="95"/>
      <c r="B227" s="119"/>
      <c r="C227" s="120"/>
      <c r="D227" s="119"/>
      <c r="E227" s="421"/>
      <c r="F227" s="422"/>
      <c r="G227" s="421"/>
      <c r="H227" s="422"/>
      <c r="I227" s="421"/>
      <c r="J227" s="422"/>
      <c r="K227" s="421"/>
      <c r="L227" s="422"/>
      <c r="M227" s="421"/>
      <c r="N227" s="422"/>
      <c r="O227" s="421"/>
      <c r="P227" s="422"/>
      <c r="Q227" s="421"/>
      <c r="R227" s="422"/>
      <c r="S227" s="421"/>
      <c r="T227" s="422"/>
      <c r="U227" s="421"/>
      <c r="V227" s="422"/>
      <c r="W227" s="421"/>
      <c r="X227" s="422"/>
      <c r="Y227" s="421"/>
      <c r="Z227" s="422"/>
      <c r="AA227" s="421"/>
      <c r="AB227" s="422"/>
      <c r="AC227" s="423"/>
      <c r="AD227" s="424"/>
      <c r="AE227" s="92"/>
      <c r="AF227" s="92"/>
      <c r="AG227" s="92"/>
      <c r="AH227" s="96"/>
      <c r="AI227" s="94"/>
      <c r="AJ227" s="94"/>
      <c r="AK227" s="94"/>
    </row>
    <row r="228" spans="1:37" ht="12.75">
      <c r="A228" s="97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9"/>
      <c r="AD228" s="99"/>
      <c r="AE228" s="98"/>
      <c r="AF228" s="98"/>
      <c r="AG228" s="98"/>
      <c r="AH228" s="98"/>
      <c r="AI228" s="98"/>
      <c r="AJ228" s="98"/>
      <c r="AK228" s="98"/>
    </row>
    <row r="229" spans="1:37" ht="12.75">
      <c r="A229" s="411" t="s">
        <v>172</v>
      </c>
      <c r="B229" s="417"/>
      <c r="C229" s="417"/>
      <c r="D229" s="417"/>
      <c r="E229" s="417"/>
      <c r="F229" s="418"/>
      <c r="G229" s="411" t="s">
        <v>172</v>
      </c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7"/>
      <c r="U229" s="417"/>
      <c r="V229" s="417"/>
      <c r="W229" s="417"/>
      <c r="X229" s="418"/>
      <c r="Y229" s="416" t="s">
        <v>173</v>
      </c>
      <c r="Z229" s="417"/>
      <c r="AA229" s="417"/>
      <c r="AB229" s="417"/>
      <c r="AC229" s="417"/>
      <c r="AD229" s="417"/>
      <c r="AE229" s="417"/>
      <c r="AF229" s="417"/>
      <c r="AG229" s="417"/>
      <c r="AH229" s="417"/>
      <c r="AI229" s="417"/>
      <c r="AJ229" s="417"/>
      <c r="AK229" s="418"/>
    </row>
    <row r="230" spans="1:37" ht="12.75">
      <c r="A230" s="95" t="s">
        <v>0</v>
      </c>
      <c r="B230" s="95" t="s">
        <v>174</v>
      </c>
      <c r="C230" s="95" t="s">
        <v>156</v>
      </c>
      <c r="D230" s="95" t="s">
        <v>157</v>
      </c>
      <c r="E230" s="416" t="s">
        <v>183</v>
      </c>
      <c r="F230" s="418"/>
      <c r="G230" s="416" t="s">
        <v>0</v>
      </c>
      <c r="H230" s="419"/>
      <c r="I230" s="416" t="s">
        <v>174</v>
      </c>
      <c r="J230" s="418"/>
      <c r="K230" s="416" t="s">
        <v>156</v>
      </c>
      <c r="L230" s="417"/>
      <c r="M230" s="417"/>
      <c r="N230" s="417"/>
      <c r="O230" s="417"/>
      <c r="P230" s="417"/>
      <c r="Q230" s="420" t="s">
        <v>157</v>
      </c>
      <c r="R230" s="417"/>
      <c r="S230" s="417"/>
      <c r="T230" s="417"/>
      <c r="U230" s="417"/>
      <c r="V230" s="418"/>
      <c r="W230" s="416" t="s">
        <v>183</v>
      </c>
      <c r="X230" s="418"/>
      <c r="Y230" s="100"/>
      <c r="Z230" s="101"/>
      <c r="AA230" s="101"/>
      <c r="AB230" s="101"/>
      <c r="AC230" s="102"/>
      <c r="AD230" s="102"/>
      <c r="AE230" s="81"/>
      <c r="AF230" s="81"/>
      <c r="AG230" s="103"/>
      <c r="AH230" s="103"/>
      <c r="AI230" s="103"/>
      <c r="AJ230" s="103"/>
      <c r="AK230" s="104"/>
    </row>
    <row r="231" spans="1:37" ht="15.75" customHeight="1">
      <c r="A231" s="106">
        <v>1</v>
      </c>
      <c r="B231" s="106"/>
      <c r="C231" s="107"/>
      <c r="D231" s="107"/>
      <c r="E231" s="407"/>
      <c r="F231" s="408"/>
      <c r="G231" s="409">
        <v>9</v>
      </c>
      <c r="H231" s="410">
        <f aca="true" t="shared" si="6" ref="H231:H238">IF(ISERROR(VLOOKUP(G231,$C$6:$AR$21,31,FALSE))=TRUE,"",CONCATENATE(VLOOKUP(G231,$C$6:$AR$21,38,FALSE),VLOOKUP(G231,$C$6:$AR$21,42,FALSE)))</f>
      </c>
      <c r="I231" s="411"/>
      <c r="J231" s="412"/>
      <c r="K231" s="413"/>
      <c r="L231" s="414"/>
      <c r="M231" s="414"/>
      <c r="N231" s="414"/>
      <c r="O231" s="414"/>
      <c r="P231" s="415"/>
      <c r="Q231" s="413"/>
      <c r="R231" s="414"/>
      <c r="S231" s="414"/>
      <c r="T231" s="414"/>
      <c r="U231" s="414"/>
      <c r="V231" s="415"/>
      <c r="W231" s="407"/>
      <c r="X231" s="408"/>
      <c r="Y231" s="108"/>
      <c r="Z231" s="109"/>
      <c r="AA231" s="109"/>
      <c r="AB231" s="109"/>
      <c r="AC231" s="110"/>
      <c r="AD231" s="110"/>
      <c r="AE231" s="109"/>
      <c r="AF231" s="109"/>
      <c r="AG231" s="109"/>
      <c r="AH231" s="111"/>
      <c r="AI231" s="111"/>
      <c r="AJ231" s="111"/>
      <c r="AK231" s="112"/>
    </row>
    <row r="232" spans="1:37" ht="15.75" customHeight="1">
      <c r="A232" s="106">
        <v>2</v>
      </c>
      <c r="B232" s="106"/>
      <c r="C232" s="107"/>
      <c r="D232" s="107"/>
      <c r="E232" s="407"/>
      <c r="F232" s="408"/>
      <c r="G232" s="409">
        <v>10</v>
      </c>
      <c r="H232" s="410">
        <f t="shared" si="6"/>
      </c>
      <c r="I232" s="411"/>
      <c r="J232" s="412"/>
      <c r="K232" s="413"/>
      <c r="L232" s="414"/>
      <c r="M232" s="414"/>
      <c r="N232" s="414"/>
      <c r="O232" s="414"/>
      <c r="P232" s="415"/>
      <c r="Q232" s="413"/>
      <c r="R232" s="414"/>
      <c r="S232" s="414"/>
      <c r="T232" s="414"/>
      <c r="U232" s="414"/>
      <c r="V232" s="415"/>
      <c r="W232" s="407"/>
      <c r="X232" s="408"/>
      <c r="Y232" s="113"/>
      <c r="Z232" s="105"/>
      <c r="AA232" s="105"/>
      <c r="AB232" s="105"/>
      <c r="AC232" s="114"/>
      <c r="AD232" s="114"/>
      <c r="AE232" s="105"/>
      <c r="AF232" s="105"/>
      <c r="AG232" s="105"/>
      <c r="AH232" s="84"/>
      <c r="AI232" s="84"/>
      <c r="AJ232" s="84"/>
      <c r="AK232" s="115"/>
    </row>
    <row r="233" spans="1:37" ht="15.75" customHeight="1">
      <c r="A233" s="106">
        <v>3</v>
      </c>
      <c r="B233" s="106"/>
      <c r="C233" s="107"/>
      <c r="D233" s="107"/>
      <c r="E233" s="407"/>
      <c r="F233" s="408"/>
      <c r="G233" s="409">
        <v>11</v>
      </c>
      <c r="H233" s="410">
        <f t="shared" si="6"/>
      </c>
      <c r="I233" s="411"/>
      <c r="J233" s="412"/>
      <c r="K233" s="413"/>
      <c r="L233" s="414"/>
      <c r="M233" s="414"/>
      <c r="N233" s="414"/>
      <c r="O233" s="414"/>
      <c r="P233" s="415"/>
      <c r="Q233" s="413"/>
      <c r="R233" s="414"/>
      <c r="S233" s="414"/>
      <c r="T233" s="414"/>
      <c r="U233" s="414"/>
      <c r="V233" s="415"/>
      <c r="W233" s="407"/>
      <c r="X233" s="408"/>
      <c r="Y233" s="113"/>
      <c r="Z233" s="105"/>
      <c r="AA233" s="105"/>
      <c r="AB233" s="105"/>
      <c r="AC233" s="114"/>
      <c r="AD233" s="114"/>
      <c r="AE233" s="105"/>
      <c r="AF233" s="105"/>
      <c r="AG233" s="105"/>
      <c r="AH233" s="84"/>
      <c r="AI233" s="84"/>
      <c r="AJ233" s="84"/>
      <c r="AK233" s="115"/>
    </row>
    <row r="234" spans="1:37" ht="15.75" customHeight="1">
      <c r="A234" s="106">
        <v>4</v>
      </c>
      <c r="B234" s="106"/>
      <c r="C234" s="107"/>
      <c r="D234" s="107"/>
      <c r="E234" s="407"/>
      <c r="F234" s="408"/>
      <c r="G234" s="409">
        <v>12</v>
      </c>
      <c r="H234" s="410">
        <f t="shared" si="6"/>
      </c>
      <c r="I234" s="411"/>
      <c r="J234" s="412"/>
      <c r="K234" s="413"/>
      <c r="L234" s="414"/>
      <c r="M234" s="414"/>
      <c r="N234" s="414"/>
      <c r="O234" s="414"/>
      <c r="P234" s="415"/>
      <c r="Q234" s="413"/>
      <c r="R234" s="414"/>
      <c r="S234" s="414"/>
      <c r="T234" s="414"/>
      <c r="U234" s="414"/>
      <c r="V234" s="415"/>
      <c r="W234" s="407"/>
      <c r="X234" s="408"/>
      <c r="Y234" s="116"/>
      <c r="Z234" s="103"/>
      <c r="AA234" s="103"/>
      <c r="AB234" s="103"/>
      <c r="AC234" s="117"/>
      <c r="AD234" s="117"/>
      <c r="AE234" s="103"/>
      <c r="AF234" s="103"/>
      <c r="AG234" s="103"/>
      <c r="AH234" s="81"/>
      <c r="AI234" s="81"/>
      <c r="AJ234" s="81"/>
      <c r="AK234" s="83"/>
    </row>
    <row r="235" spans="1:37" ht="15.75" customHeight="1">
      <c r="A235" s="106">
        <v>5</v>
      </c>
      <c r="B235" s="106"/>
      <c r="C235" s="107"/>
      <c r="D235" s="107"/>
      <c r="E235" s="407"/>
      <c r="F235" s="408"/>
      <c r="G235" s="409">
        <v>13</v>
      </c>
      <c r="H235" s="410">
        <f t="shared" si="6"/>
      </c>
      <c r="I235" s="411"/>
      <c r="J235" s="412"/>
      <c r="K235" s="413"/>
      <c r="L235" s="414"/>
      <c r="M235" s="414"/>
      <c r="N235" s="414"/>
      <c r="O235" s="414"/>
      <c r="P235" s="415"/>
      <c r="Q235" s="413"/>
      <c r="R235" s="414"/>
      <c r="S235" s="414"/>
      <c r="T235" s="414"/>
      <c r="U235" s="414"/>
      <c r="V235" s="415"/>
      <c r="W235" s="407"/>
      <c r="X235" s="408"/>
      <c r="Y235" s="108"/>
      <c r="Z235" s="109"/>
      <c r="AA235" s="109"/>
      <c r="AB235" s="109"/>
      <c r="AC235" s="110"/>
      <c r="AD235" s="110"/>
      <c r="AE235" s="109"/>
      <c r="AF235" s="109"/>
      <c r="AG235" s="109"/>
      <c r="AH235" s="111"/>
      <c r="AI235" s="111"/>
      <c r="AJ235" s="111"/>
      <c r="AK235" s="112"/>
    </row>
    <row r="236" spans="1:37" ht="15.75" customHeight="1">
      <c r="A236" s="106">
        <v>6</v>
      </c>
      <c r="B236" s="106"/>
      <c r="C236" s="107"/>
      <c r="D236" s="107"/>
      <c r="E236" s="407"/>
      <c r="F236" s="408"/>
      <c r="G236" s="409">
        <v>14</v>
      </c>
      <c r="H236" s="410">
        <f t="shared" si="6"/>
      </c>
      <c r="I236" s="411"/>
      <c r="J236" s="412"/>
      <c r="K236" s="413"/>
      <c r="L236" s="414"/>
      <c r="M236" s="414"/>
      <c r="N236" s="414"/>
      <c r="O236" s="414"/>
      <c r="P236" s="415"/>
      <c r="Q236" s="413"/>
      <c r="R236" s="414"/>
      <c r="S236" s="414"/>
      <c r="T236" s="414"/>
      <c r="U236" s="414"/>
      <c r="V236" s="415"/>
      <c r="W236" s="407"/>
      <c r="X236" s="408"/>
      <c r="Y236" s="416" t="s">
        <v>176</v>
      </c>
      <c r="Z236" s="417"/>
      <c r="AA236" s="417"/>
      <c r="AB236" s="417"/>
      <c r="AC236" s="417"/>
      <c r="AD236" s="417"/>
      <c r="AE236" s="417"/>
      <c r="AF236" s="417"/>
      <c r="AG236" s="417"/>
      <c r="AH236" s="417"/>
      <c r="AI236" s="417"/>
      <c r="AJ236" s="417"/>
      <c r="AK236" s="418"/>
    </row>
    <row r="237" spans="1:37" ht="15.75" customHeight="1">
      <c r="A237" s="106">
        <v>7</v>
      </c>
      <c r="B237" s="106"/>
      <c r="C237" s="107"/>
      <c r="D237" s="107"/>
      <c r="E237" s="407"/>
      <c r="F237" s="408"/>
      <c r="G237" s="409">
        <v>15</v>
      </c>
      <c r="H237" s="410">
        <f t="shared" si="6"/>
      </c>
      <c r="I237" s="411"/>
      <c r="J237" s="412"/>
      <c r="K237" s="413"/>
      <c r="L237" s="414"/>
      <c r="M237" s="414"/>
      <c r="N237" s="414"/>
      <c r="O237" s="414"/>
      <c r="P237" s="415"/>
      <c r="Q237" s="413"/>
      <c r="R237" s="414"/>
      <c r="S237" s="414"/>
      <c r="T237" s="414"/>
      <c r="U237" s="414"/>
      <c r="V237" s="415"/>
      <c r="W237" s="407"/>
      <c r="X237" s="408"/>
      <c r="Y237" s="116"/>
      <c r="Z237" s="103"/>
      <c r="AA237" s="103"/>
      <c r="AB237" s="103"/>
      <c r="AC237" s="117"/>
      <c r="AD237" s="82"/>
      <c r="AE237" s="81"/>
      <c r="AF237" s="81"/>
      <c r="AG237" s="81"/>
      <c r="AH237" s="81"/>
      <c r="AI237" s="81"/>
      <c r="AJ237" s="81"/>
      <c r="AK237" s="83"/>
    </row>
    <row r="238" spans="1:37" ht="15.75" customHeight="1">
      <c r="A238" s="106">
        <v>8</v>
      </c>
      <c r="B238" s="106"/>
      <c r="C238" s="107"/>
      <c r="D238" s="107"/>
      <c r="E238" s="407"/>
      <c r="F238" s="408"/>
      <c r="G238" s="409">
        <v>16</v>
      </c>
      <c r="H238" s="410">
        <f t="shared" si="6"/>
      </c>
      <c r="I238" s="411"/>
      <c r="J238" s="412"/>
      <c r="K238" s="413"/>
      <c r="L238" s="414"/>
      <c r="M238" s="414"/>
      <c r="N238" s="414"/>
      <c r="O238" s="414"/>
      <c r="P238" s="415"/>
      <c r="Q238" s="413"/>
      <c r="R238" s="414"/>
      <c r="S238" s="414"/>
      <c r="T238" s="414"/>
      <c r="U238" s="414"/>
      <c r="V238" s="415"/>
      <c r="W238" s="407"/>
      <c r="X238" s="408"/>
      <c r="Y238" s="108"/>
      <c r="Z238" s="109"/>
      <c r="AA238" s="109"/>
      <c r="AB238" s="109"/>
      <c r="AC238" s="110"/>
      <c r="AD238" s="118"/>
      <c r="AE238" s="111"/>
      <c r="AF238" s="111"/>
      <c r="AG238" s="111"/>
      <c r="AH238" s="111"/>
      <c r="AI238" s="111"/>
      <c r="AJ238" s="111"/>
      <c r="AK238" s="112"/>
    </row>
    <row r="240" spans="1:37" ht="20.25">
      <c r="A240" s="80" t="s">
        <v>178</v>
      </c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  <c r="Y240" s="252"/>
      <c r="Z240" s="81"/>
      <c r="AA240" s="81"/>
      <c r="AB240" s="81"/>
      <c r="AC240" s="82"/>
      <c r="AD240" s="82"/>
      <c r="AE240" s="81"/>
      <c r="AF240" s="81"/>
      <c r="AG240" s="81"/>
      <c r="AH240" s="81"/>
      <c r="AI240" s="81"/>
      <c r="AJ240" s="81"/>
      <c r="AK240" s="83"/>
    </row>
    <row r="241" spans="1:37" ht="12.75">
      <c r="A241" s="428" t="s">
        <v>148</v>
      </c>
      <c r="B241" s="429"/>
      <c r="C241" s="341" t="s">
        <v>319</v>
      </c>
      <c r="D241" s="342"/>
      <c r="E241" s="428" t="s">
        <v>149</v>
      </c>
      <c r="F241" s="430"/>
      <c r="G241" s="429"/>
      <c r="H241" s="411"/>
      <c r="I241" s="431"/>
      <c r="J241" s="431"/>
      <c r="K241" s="431"/>
      <c r="L241" s="431"/>
      <c r="M241" s="431"/>
      <c r="N241" s="431"/>
      <c r="O241" s="431"/>
      <c r="P241" s="431"/>
      <c r="Q241" s="431"/>
      <c r="R241" s="431"/>
      <c r="S241" s="431"/>
      <c r="T241" s="431"/>
      <c r="U241" s="431"/>
      <c r="V241" s="412"/>
      <c r="W241" s="428" t="s">
        <v>150</v>
      </c>
      <c r="X241" s="430"/>
      <c r="Y241" s="429"/>
      <c r="Z241" s="432"/>
      <c r="AA241" s="433"/>
      <c r="AB241" s="433"/>
      <c r="AC241" s="434"/>
      <c r="AD241" s="434"/>
      <c r="AE241" s="434"/>
      <c r="AF241" s="434"/>
      <c r="AG241" s="434"/>
      <c r="AH241" s="434"/>
      <c r="AI241" s="434"/>
      <c r="AJ241" s="434"/>
      <c r="AK241" s="435"/>
    </row>
    <row r="242" spans="1:37" ht="12.75">
      <c r="A242" s="428" t="s">
        <v>179</v>
      </c>
      <c r="B242" s="429"/>
      <c r="C242" s="377"/>
      <c r="D242" s="378"/>
      <c r="E242" s="428" t="s">
        <v>151</v>
      </c>
      <c r="F242" s="430"/>
      <c r="G242" s="429"/>
      <c r="H242" s="436"/>
      <c r="I242" s="437"/>
      <c r="J242" s="438"/>
      <c r="K242" s="428" t="s">
        <v>152</v>
      </c>
      <c r="L242" s="430"/>
      <c r="M242" s="430"/>
      <c r="N242" s="430"/>
      <c r="O242" s="430"/>
      <c r="P242" s="429"/>
      <c r="Q242" s="439"/>
      <c r="R242" s="440"/>
      <c r="S242" s="441"/>
      <c r="T242" s="442" t="s">
        <v>153</v>
      </c>
      <c r="U242" s="443"/>
      <c r="V242" s="444"/>
      <c r="W242" s="445"/>
      <c r="X242" s="446"/>
      <c r="Y242" s="446"/>
      <c r="Z242" s="446"/>
      <c r="AA242" s="446"/>
      <c r="AB242" s="446"/>
      <c r="AC242" s="446"/>
      <c r="AD242" s="446"/>
      <c r="AE242" s="446"/>
      <c r="AF242" s="446"/>
      <c r="AG242" s="446"/>
      <c r="AH242" s="446"/>
      <c r="AI242" s="446"/>
      <c r="AJ242" s="446"/>
      <c r="AK242" s="447"/>
    </row>
    <row r="243" spans="1:37" ht="12.75">
      <c r="A243" s="85" t="s">
        <v>154</v>
      </c>
      <c r="B243" s="85" t="s">
        <v>155</v>
      </c>
      <c r="C243" s="85" t="s">
        <v>156</v>
      </c>
      <c r="D243" s="86" t="s">
        <v>157</v>
      </c>
      <c r="E243" s="448"/>
      <c r="F243" s="449"/>
      <c r="G243" s="448"/>
      <c r="H243" s="449"/>
      <c r="I243" s="448"/>
      <c r="J243" s="449"/>
      <c r="K243" s="448"/>
      <c r="L243" s="449"/>
      <c r="M243" s="448"/>
      <c r="N243" s="449"/>
      <c r="O243" s="448"/>
      <c r="P243" s="449"/>
      <c r="Q243" s="448"/>
      <c r="R243" s="449"/>
      <c r="S243" s="448"/>
      <c r="T243" s="449"/>
      <c r="U243" s="448"/>
      <c r="V243" s="449"/>
      <c r="W243" s="448"/>
      <c r="X243" s="449"/>
      <c r="Y243" s="448"/>
      <c r="Z243" s="449"/>
      <c r="AA243" s="448"/>
      <c r="AB243" s="449"/>
      <c r="AC243" s="450" t="s">
        <v>166</v>
      </c>
      <c r="AD243" s="451"/>
      <c r="AE243" s="452" t="s">
        <v>180</v>
      </c>
      <c r="AF243" s="452" t="s">
        <v>181</v>
      </c>
      <c r="AG243" s="452" t="s">
        <v>182</v>
      </c>
      <c r="AH243" s="454" t="s">
        <v>167</v>
      </c>
      <c r="AI243" s="87"/>
      <c r="AJ243" s="456" t="s">
        <v>168</v>
      </c>
      <c r="AK243" s="457"/>
    </row>
    <row r="244" spans="1:37" ht="12.75">
      <c r="A244" s="88"/>
      <c r="B244" s="88"/>
      <c r="C244" s="89"/>
      <c r="D244" s="90"/>
      <c r="E244" s="425" t="s">
        <v>169</v>
      </c>
      <c r="F244" s="420"/>
      <c r="G244" s="425" t="s">
        <v>169</v>
      </c>
      <c r="H244" s="420"/>
      <c r="I244" s="425" t="s">
        <v>169</v>
      </c>
      <c r="J244" s="420"/>
      <c r="K244" s="425" t="s">
        <v>169</v>
      </c>
      <c r="L244" s="420"/>
      <c r="M244" s="425" t="s">
        <v>169</v>
      </c>
      <c r="N244" s="420"/>
      <c r="O244" s="425" t="s">
        <v>169</v>
      </c>
      <c r="P244" s="420"/>
      <c r="Q244" s="425" t="s">
        <v>169</v>
      </c>
      <c r="R244" s="420"/>
      <c r="S244" s="425" t="s">
        <v>169</v>
      </c>
      <c r="T244" s="420"/>
      <c r="U244" s="425" t="s">
        <v>169</v>
      </c>
      <c r="V244" s="420"/>
      <c r="W244" s="425" t="s">
        <v>169</v>
      </c>
      <c r="X244" s="420"/>
      <c r="Y244" s="425" t="s">
        <v>169</v>
      </c>
      <c r="Z244" s="420"/>
      <c r="AA244" s="425" t="s">
        <v>169</v>
      </c>
      <c r="AB244" s="420"/>
      <c r="AC244" s="426" t="s">
        <v>169</v>
      </c>
      <c r="AD244" s="427"/>
      <c r="AE244" s="453"/>
      <c r="AF244" s="453"/>
      <c r="AG244" s="453"/>
      <c r="AH244" s="455"/>
      <c r="AI244" s="91"/>
      <c r="AJ244" s="458"/>
      <c r="AK244" s="459"/>
    </row>
    <row r="245" spans="1:37" ht="12.75">
      <c r="A245" s="88"/>
      <c r="B245" s="248"/>
      <c r="C245" s="120"/>
      <c r="D245" s="370"/>
      <c r="E245" s="371"/>
      <c r="F245" s="371"/>
      <c r="G245" s="371"/>
      <c r="H245" s="372"/>
      <c r="I245" s="421"/>
      <c r="J245" s="422"/>
      <c r="K245" s="421"/>
      <c r="L245" s="422"/>
      <c r="M245" s="421"/>
      <c r="N245" s="422"/>
      <c r="O245" s="421"/>
      <c r="P245" s="422"/>
      <c r="Q245" s="421"/>
      <c r="R245" s="422"/>
      <c r="S245" s="421"/>
      <c r="T245" s="422"/>
      <c r="U245" s="421"/>
      <c r="V245" s="422"/>
      <c r="W245" s="421"/>
      <c r="X245" s="422"/>
      <c r="Y245" s="421"/>
      <c r="Z245" s="422"/>
      <c r="AA245" s="421"/>
      <c r="AB245" s="422"/>
      <c r="AC245" s="423"/>
      <c r="AD245" s="424"/>
      <c r="AE245" s="92"/>
      <c r="AF245" s="92"/>
      <c r="AG245" s="92"/>
      <c r="AH245" s="93"/>
      <c r="AI245" s="94"/>
      <c r="AJ245" s="94"/>
      <c r="AK245" s="94"/>
    </row>
    <row r="246" spans="1:37" ht="15.75">
      <c r="A246" s="95"/>
      <c r="B246" s="119"/>
      <c r="C246" s="119"/>
      <c r="D246" s="122"/>
      <c r="E246" s="421"/>
      <c r="F246" s="422"/>
      <c r="G246" s="421"/>
      <c r="H246" s="422"/>
      <c r="I246" s="421"/>
      <c r="J246" s="422"/>
      <c r="K246" s="421"/>
      <c r="L246" s="422"/>
      <c r="M246" s="421"/>
      <c r="N246" s="422"/>
      <c r="O246" s="421"/>
      <c r="P246" s="422"/>
      <c r="Q246" s="421"/>
      <c r="R246" s="422"/>
      <c r="S246" s="421"/>
      <c r="T246" s="422"/>
      <c r="U246" s="421"/>
      <c r="V246" s="422"/>
      <c r="W246" s="421"/>
      <c r="X246" s="422"/>
      <c r="Y246" s="421"/>
      <c r="Z246" s="422"/>
      <c r="AA246" s="421"/>
      <c r="AB246" s="422"/>
      <c r="AC246" s="423"/>
      <c r="AD246" s="424"/>
      <c r="AE246" s="92"/>
      <c r="AF246" s="92"/>
      <c r="AG246" s="92"/>
      <c r="AH246" s="96"/>
      <c r="AI246" s="94"/>
      <c r="AJ246" s="94"/>
      <c r="AK246" s="94"/>
    </row>
    <row r="247" spans="1:37" ht="15.75">
      <c r="A247" s="95"/>
      <c r="B247" s="119"/>
      <c r="C247" s="122"/>
      <c r="D247" s="122"/>
      <c r="E247" s="421"/>
      <c r="F247" s="422"/>
      <c r="G247" s="421"/>
      <c r="H247" s="422"/>
      <c r="I247" s="421"/>
      <c r="J247" s="422"/>
      <c r="K247" s="421"/>
      <c r="L247" s="422"/>
      <c r="M247" s="421"/>
      <c r="N247" s="422"/>
      <c r="O247" s="421"/>
      <c r="P247" s="422"/>
      <c r="Q247" s="421"/>
      <c r="R247" s="422"/>
      <c r="S247" s="421"/>
      <c r="T247" s="422"/>
      <c r="U247" s="421"/>
      <c r="V247" s="422"/>
      <c r="W247" s="421"/>
      <c r="X247" s="422"/>
      <c r="Y247" s="421"/>
      <c r="Z247" s="422"/>
      <c r="AA247" s="421"/>
      <c r="AB247" s="422"/>
      <c r="AC247" s="423"/>
      <c r="AD247" s="424"/>
      <c r="AE247" s="92"/>
      <c r="AF247" s="92"/>
      <c r="AG247" s="92"/>
      <c r="AH247" s="96"/>
      <c r="AI247" s="94"/>
      <c r="AJ247" s="94"/>
      <c r="AK247" s="94"/>
    </row>
    <row r="248" spans="1:37" ht="15.75">
      <c r="A248" s="95"/>
      <c r="B248" s="119"/>
      <c r="C248" s="119"/>
      <c r="D248" s="119"/>
      <c r="E248" s="421"/>
      <c r="F248" s="422"/>
      <c r="G248" s="421"/>
      <c r="H248" s="422"/>
      <c r="I248" s="421"/>
      <c r="J248" s="422"/>
      <c r="K248" s="421"/>
      <c r="L248" s="422"/>
      <c r="M248" s="421"/>
      <c r="N248" s="422"/>
      <c r="O248" s="421"/>
      <c r="P248" s="422"/>
      <c r="Q248" s="421"/>
      <c r="R248" s="422"/>
      <c r="S248" s="421"/>
      <c r="T248" s="422"/>
      <c r="U248" s="421"/>
      <c r="V248" s="422"/>
      <c r="W248" s="421"/>
      <c r="X248" s="422"/>
      <c r="Y248" s="421"/>
      <c r="Z248" s="422"/>
      <c r="AA248" s="421"/>
      <c r="AB248" s="422"/>
      <c r="AC248" s="423"/>
      <c r="AD248" s="424"/>
      <c r="AE248" s="92"/>
      <c r="AF248" s="92"/>
      <c r="AG248" s="92"/>
      <c r="AH248" s="96"/>
      <c r="AI248" s="94"/>
      <c r="AJ248" s="94"/>
      <c r="AK248" s="94"/>
    </row>
    <row r="249" spans="1:37" ht="15.75">
      <c r="A249" s="95"/>
      <c r="B249" s="119"/>
      <c r="C249" s="119"/>
      <c r="D249" s="119"/>
      <c r="E249" s="421"/>
      <c r="F249" s="422"/>
      <c r="G249" s="421"/>
      <c r="H249" s="422"/>
      <c r="I249" s="421"/>
      <c r="J249" s="422"/>
      <c r="K249" s="421"/>
      <c r="L249" s="422"/>
      <c r="M249" s="421"/>
      <c r="N249" s="422"/>
      <c r="O249" s="421"/>
      <c r="P249" s="422"/>
      <c r="Q249" s="421"/>
      <c r="R249" s="422"/>
      <c r="S249" s="421"/>
      <c r="T249" s="422"/>
      <c r="U249" s="421"/>
      <c r="V249" s="422"/>
      <c r="W249" s="421"/>
      <c r="X249" s="422"/>
      <c r="Y249" s="421"/>
      <c r="Z249" s="422"/>
      <c r="AA249" s="421"/>
      <c r="AB249" s="422"/>
      <c r="AC249" s="423"/>
      <c r="AD249" s="424"/>
      <c r="AE249" s="92"/>
      <c r="AF249" s="92"/>
      <c r="AG249" s="92"/>
      <c r="AH249" s="96"/>
      <c r="AI249" s="94"/>
      <c r="AJ249" s="94"/>
      <c r="AK249" s="94"/>
    </row>
    <row r="250" spans="1:37" ht="15.75">
      <c r="A250" s="95"/>
      <c r="B250" s="119"/>
      <c r="C250" s="119"/>
      <c r="D250" s="119"/>
      <c r="E250" s="421"/>
      <c r="F250" s="422"/>
      <c r="G250" s="421"/>
      <c r="H250" s="422"/>
      <c r="I250" s="421"/>
      <c r="J250" s="422"/>
      <c r="K250" s="421"/>
      <c r="L250" s="422"/>
      <c r="M250" s="421"/>
      <c r="N250" s="422"/>
      <c r="O250" s="421"/>
      <c r="P250" s="422"/>
      <c r="Q250" s="421"/>
      <c r="R250" s="422"/>
      <c r="S250" s="421"/>
      <c r="T250" s="422"/>
      <c r="U250" s="421"/>
      <c r="V250" s="422"/>
      <c r="W250" s="421"/>
      <c r="X250" s="422"/>
      <c r="Y250" s="421"/>
      <c r="Z250" s="422"/>
      <c r="AA250" s="421"/>
      <c r="AB250" s="422"/>
      <c r="AC250" s="423"/>
      <c r="AD250" s="424"/>
      <c r="AE250" s="92"/>
      <c r="AF250" s="92"/>
      <c r="AG250" s="92"/>
      <c r="AH250" s="96"/>
      <c r="AI250" s="94"/>
      <c r="AJ250" s="94"/>
      <c r="AK250" s="94"/>
    </row>
    <row r="251" spans="1:37" ht="15.75">
      <c r="A251" s="95"/>
      <c r="B251" s="119"/>
      <c r="C251" s="119"/>
      <c r="D251" s="119"/>
      <c r="E251" s="421"/>
      <c r="F251" s="422"/>
      <c r="G251" s="421"/>
      <c r="H251" s="422"/>
      <c r="I251" s="421"/>
      <c r="J251" s="422"/>
      <c r="K251" s="421"/>
      <c r="L251" s="422"/>
      <c r="M251" s="421"/>
      <c r="N251" s="422"/>
      <c r="O251" s="421"/>
      <c r="P251" s="422"/>
      <c r="Q251" s="421"/>
      <c r="R251" s="422"/>
      <c r="S251" s="421"/>
      <c r="T251" s="422"/>
      <c r="U251" s="421"/>
      <c r="V251" s="422"/>
      <c r="W251" s="421"/>
      <c r="X251" s="422"/>
      <c r="Y251" s="421"/>
      <c r="Z251" s="422"/>
      <c r="AA251" s="421"/>
      <c r="AB251" s="422"/>
      <c r="AC251" s="423"/>
      <c r="AD251" s="424"/>
      <c r="AE251" s="92"/>
      <c r="AF251" s="92"/>
      <c r="AG251" s="92"/>
      <c r="AH251" s="96"/>
      <c r="AI251" s="94"/>
      <c r="AJ251" s="94"/>
      <c r="AK251" s="94"/>
    </row>
    <row r="252" spans="1:37" ht="15.75">
      <c r="A252" s="95"/>
      <c r="B252" s="119"/>
      <c r="C252" s="119"/>
      <c r="D252" s="119"/>
      <c r="E252" s="421"/>
      <c r="F252" s="422"/>
      <c r="G252" s="421"/>
      <c r="H252" s="422"/>
      <c r="I252" s="421"/>
      <c r="J252" s="422"/>
      <c r="K252" s="421"/>
      <c r="L252" s="422"/>
      <c r="M252" s="421"/>
      <c r="N252" s="422"/>
      <c r="O252" s="421"/>
      <c r="P252" s="422"/>
      <c r="Q252" s="421"/>
      <c r="R252" s="422"/>
      <c r="S252" s="421"/>
      <c r="T252" s="422"/>
      <c r="U252" s="421"/>
      <c r="V252" s="422"/>
      <c r="W252" s="421"/>
      <c r="X252" s="422"/>
      <c r="Y252" s="421"/>
      <c r="Z252" s="422"/>
      <c r="AA252" s="421"/>
      <c r="AB252" s="422"/>
      <c r="AC252" s="423"/>
      <c r="AD252" s="424"/>
      <c r="AE252" s="92"/>
      <c r="AF252" s="92"/>
      <c r="AG252" s="92"/>
      <c r="AH252" s="96"/>
      <c r="AI252" s="94"/>
      <c r="AJ252" s="94"/>
      <c r="AK252" s="94"/>
    </row>
    <row r="253" spans="1:37" ht="15.75">
      <c r="A253" s="95"/>
      <c r="B253" s="119"/>
      <c r="C253" s="119"/>
      <c r="D253" s="119"/>
      <c r="E253" s="421"/>
      <c r="F253" s="422"/>
      <c r="G253" s="421"/>
      <c r="H253" s="422"/>
      <c r="I253" s="421"/>
      <c r="J253" s="422"/>
      <c r="K253" s="421"/>
      <c r="L253" s="422"/>
      <c r="M253" s="421"/>
      <c r="N253" s="422"/>
      <c r="O253" s="421"/>
      <c r="P253" s="422"/>
      <c r="Q253" s="421"/>
      <c r="R253" s="422"/>
      <c r="S253" s="421"/>
      <c r="T253" s="422"/>
      <c r="U253" s="421"/>
      <c r="V253" s="422"/>
      <c r="W253" s="421"/>
      <c r="X253" s="422"/>
      <c r="Y253" s="421"/>
      <c r="Z253" s="422"/>
      <c r="AA253" s="421"/>
      <c r="AB253" s="422"/>
      <c r="AC253" s="423"/>
      <c r="AD253" s="424"/>
      <c r="AE253" s="92"/>
      <c r="AF253" s="92"/>
      <c r="AG253" s="92"/>
      <c r="AH253" s="96"/>
      <c r="AI253" s="94"/>
      <c r="AJ253" s="94"/>
      <c r="AK253" s="94"/>
    </row>
    <row r="254" spans="1:37" ht="15.75">
      <c r="A254" s="95"/>
      <c r="B254" s="119"/>
      <c r="C254" s="119"/>
      <c r="D254" s="119"/>
      <c r="E254" s="421"/>
      <c r="F254" s="422"/>
      <c r="G254" s="421"/>
      <c r="H254" s="422"/>
      <c r="I254" s="421"/>
      <c r="J254" s="422"/>
      <c r="K254" s="421"/>
      <c r="L254" s="422"/>
      <c r="M254" s="421"/>
      <c r="N254" s="422"/>
      <c r="O254" s="421"/>
      <c r="P254" s="422"/>
      <c r="Q254" s="421"/>
      <c r="R254" s="422"/>
      <c r="S254" s="421"/>
      <c r="T254" s="422"/>
      <c r="U254" s="421"/>
      <c r="V254" s="422"/>
      <c r="W254" s="421"/>
      <c r="X254" s="422"/>
      <c r="Y254" s="421"/>
      <c r="Z254" s="422"/>
      <c r="AA254" s="421"/>
      <c r="AB254" s="422"/>
      <c r="AC254" s="423"/>
      <c r="AD254" s="424"/>
      <c r="AE254" s="92"/>
      <c r="AF254" s="92"/>
      <c r="AG254" s="92"/>
      <c r="AH254" s="96"/>
      <c r="AI254" s="94"/>
      <c r="AJ254" s="94"/>
      <c r="AK254" s="94"/>
    </row>
    <row r="255" spans="1:37" ht="15.75">
      <c r="A255" s="95"/>
      <c r="B255" s="119"/>
      <c r="C255" s="119"/>
      <c r="D255" s="119"/>
      <c r="E255" s="421"/>
      <c r="F255" s="422"/>
      <c r="G255" s="421"/>
      <c r="H255" s="422"/>
      <c r="I255" s="421"/>
      <c r="J255" s="422"/>
      <c r="K255" s="421"/>
      <c r="L255" s="422"/>
      <c r="M255" s="421"/>
      <c r="N255" s="422"/>
      <c r="O255" s="421"/>
      <c r="P255" s="422"/>
      <c r="Q255" s="421"/>
      <c r="R255" s="422"/>
      <c r="S255" s="421"/>
      <c r="T255" s="422"/>
      <c r="U255" s="421"/>
      <c r="V255" s="422"/>
      <c r="W255" s="421"/>
      <c r="X255" s="422"/>
      <c r="Y255" s="421"/>
      <c r="Z255" s="422"/>
      <c r="AA255" s="421"/>
      <c r="AB255" s="422"/>
      <c r="AC255" s="423"/>
      <c r="AD255" s="424"/>
      <c r="AE255" s="92"/>
      <c r="AF255" s="92"/>
      <c r="AG255" s="92"/>
      <c r="AH255" s="96"/>
      <c r="AI255" s="94"/>
      <c r="AJ255" s="94"/>
      <c r="AK255" s="94"/>
    </row>
    <row r="256" spans="1:37" ht="15.75">
      <c r="A256" s="95"/>
      <c r="B256" s="119"/>
      <c r="C256" s="119"/>
      <c r="D256" s="119"/>
      <c r="E256" s="421"/>
      <c r="F256" s="422"/>
      <c r="G256" s="421"/>
      <c r="H256" s="422"/>
      <c r="I256" s="421"/>
      <c r="J256" s="422"/>
      <c r="K256" s="421"/>
      <c r="L256" s="422"/>
      <c r="M256" s="421"/>
      <c r="N256" s="422"/>
      <c r="O256" s="421"/>
      <c r="P256" s="422"/>
      <c r="Q256" s="421"/>
      <c r="R256" s="422"/>
      <c r="S256" s="421"/>
      <c r="T256" s="422"/>
      <c r="U256" s="421"/>
      <c r="V256" s="422"/>
      <c r="W256" s="421"/>
      <c r="X256" s="422"/>
      <c r="Y256" s="421"/>
      <c r="Z256" s="422"/>
      <c r="AA256" s="421"/>
      <c r="AB256" s="422"/>
      <c r="AC256" s="423"/>
      <c r="AD256" s="424"/>
      <c r="AE256" s="92"/>
      <c r="AF256" s="92"/>
      <c r="AG256" s="92"/>
      <c r="AH256" s="96"/>
      <c r="AI256" s="94"/>
      <c r="AJ256" s="94"/>
      <c r="AK256" s="94"/>
    </row>
    <row r="257" spans="1:37" ht="15.75">
      <c r="A257" s="95"/>
      <c r="B257" s="119"/>
      <c r="C257" s="120"/>
      <c r="D257" s="119"/>
      <c r="E257" s="421"/>
      <c r="F257" s="422"/>
      <c r="G257" s="421"/>
      <c r="H257" s="422"/>
      <c r="I257" s="421"/>
      <c r="J257" s="422"/>
      <c r="K257" s="421"/>
      <c r="L257" s="422"/>
      <c r="M257" s="421"/>
      <c r="N257" s="422"/>
      <c r="O257" s="421"/>
      <c r="P257" s="422"/>
      <c r="Q257" s="421"/>
      <c r="R257" s="422"/>
      <c r="S257" s="421"/>
      <c r="T257" s="422"/>
      <c r="U257" s="421"/>
      <c r="V257" s="422"/>
      <c r="W257" s="421"/>
      <c r="X257" s="422"/>
      <c r="Y257" s="421"/>
      <c r="Z257" s="422"/>
      <c r="AA257" s="421"/>
      <c r="AB257" s="422"/>
      <c r="AC257" s="423"/>
      <c r="AD257" s="424"/>
      <c r="AE257" s="92"/>
      <c r="AF257" s="92"/>
      <c r="AG257" s="92"/>
      <c r="AH257" s="96"/>
      <c r="AI257" s="94"/>
      <c r="AJ257" s="94"/>
      <c r="AK257" s="94"/>
    </row>
    <row r="258" spans="1:37" ht="12.75">
      <c r="A258" s="97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9"/>
      <c r="AD258" s="99"/>
      <c r="AE258" s="98"/>
      <c r="AF258" s="98"/>
      <c r="AG258" s="98"/>
      <c r="AH258" s="98"/>
      <c r="AI258" s="98"/>
      <c r="AJ258" s="98"/>
      <c r="AK258" s="98"/>
    </row>
    <row r="259" spans="1:37" ht="12.75">
      <c r="A259" s="411" t="s">
        <v>172</v>
      </c>
      <c r="B259" s="417"/>
      <c r="C259" s="417"/>
      <c r="D259" s="417"/>
      <c r="E259" s="417"/>
      <c r="F259" s="418"/>
      <c r="G259" s="411" t="s">
        <v>172</v>
      </c>
      <c r="H259" s="417"/>
      <c r="I259" s="417"/>
      <c r="J259" s="417"/>
      <c r="K259" s="417"/>
      <c r="L259" s="417"/>
      <c r="M259" s="417"/>
      <c r="N259" s="417"/>
      <c r="O259" s="417"/>
      <c r="P259" s="417"/>
      <c r="Q259" s="417"/>
      <c r="R259" s="417"/>
      <c r="S259" s="417"/>
      <c r="T259" s="417"/>
      <c r="U259" s="417"/>
      <c r="V259" s="417"/>
      <c r="W259" s="417"/>
      <c r="X259" s="418"/>
      <c r="Y259" s="416" t="s">
        <v>173</v>
      </c>
      <c r="Z259" s="417"/>
      <c r="AA259" s="417"/>
      <c r="AB259" s="417"/>
      <c r="AC259" s="417"/>
      <c r="AD259" s="417"/>
      <c r="AE259" s="417"/>
      <c r="AF259" s="417"/>
      <c r="AG259" s="417"/>
      <c r="AH259" s="417"/>
      <c r="AI259" s="417"/>
      <c r="AJ259" s="417"/>
      <c r="AK259" s="418"/>
    </row>
    <row r="260" spans="1:37" ht="12.75">
      <c r="A260" s="95" t="s">
        <v>0</v>
      </c>
      <c r="B260" s="95" t="s">
        <v>174</v>
      </c>
      <c r="C260" s="95" t="s">
        <v>156</v>
      </c>
      <c r="D260" s="95" t="s">
        <v>157</v>
      </c>
      <c r="E260" s="416" t="s">
        <v>183</v>
      </c>
      <c r="F260" s="418"/>
      <c r="G260" s="416" t="s">
        <v>0</v>
      </c>
      <c r="H260" s="419"/>
      <c r="I260" s="416" t="s">
        <v>174</v>
      </c>
      <c r="J260" s="418"/>
      <c r="K260" s="416" t="s">
        <v>156</v>
      </c>
      <c r="L260" s="417"/>
      <c r="M260" s="417"/>
      <c r="N260" s="417"/>
      <c r="O260" s="417"/>
      <c r="P260" s="417"/>
      <c r="Q260" s="420" t="s">
        <v>157</v>
      </c>
      <c r="R260" s="417"/>
      <c r="S260" s="417"/>
      <c r="T260" s="417"/>
      <c r="U260" s="417"/>
      <c r="V260" s="418"/>
      <c r="W260" s="416" t="s">
        <v>183</v>
      </c>
      <c r="X260" s="418"/>
      <c r="Y260" s="100"/>
      <c r="Z260" s="101"/>
      <c r="AA260" s="101"/>
      <c r="AB260" s="101"/>
      <c r="AC260" s="102"/>
      <c r="AD260" s="102"/>
      <c r="AE260" s="81"/>
      <c r="AF260" s="81"/>
      <c r="AG260" s="103"/>
      <c r="AH260" s="103"/>
      <c r="AI260" s="103"/>
      <c r="AJ260" s="103"/>
      <c r="AK260" s="104"/>
    </row>
    <row r="261" spans="1:37" ht="12.75">
      <c r="A261" s="258">
        <v>1</v>
      </c>
      <c r="B261" s="258"/>
      <c r="C261" s="259"/>
      <c r="D261" s="259"/>
      <c r="E261" s="407"/>
      <c r="F261" s="408"/>
      <c r="G261" s="409">
        <v>9</v>
      </c>
      <c r="H261" s="410">
        <f aca="true" t="shared" si="7" ref="H261:H268">IF(ISERROR(VLOOKUP(G261,$C$6:$AR$21,31,FALSE))=TRUE,"",CONCATENATE(VLOOKUP(G261,$C$6:$AR$21,38,FALSE),VLOOKUP(G261,$C$6:$AR$21,42,FALSE)))</f>
      </c>
      <c r="I261" s="411"/>
      <c r="J261" s="412"/>
      <c r="K261" s="413"/>
      <c r="L261" s="414"/>
      <c r="M261" s="414"/>
      <c r="N261" s="414"/>
      <c r="O261" s="414"/>
      <c r="P261" s="415"/>
      <c r="Q261" s="413"/>
      <c r="R261" s="414"/>
      <c r="S261" s="414"/>
      <c r="T261" s="414"/>
      <c r="U261" s="414"/>
      <c r="V261" s="415"/>
      <c r="W261" s="407"/>
      <c r="X261" s="408"/>
      <c r="Y261" s="108"/>
      <c r="Z261" s="109"/>
      <c r="AA261" s="109"/>
      <c r="AB261" s="109"/>
      <c r="AC261" s="110"/>
      <c r="AD261" s="110"/>
      <c r="AE261" s="109"/>
      <c r="AF261" s="109"/>
      <c r="AG261" s="109"/>
      <c r="AH261" s="111"/>
      <c r="AI261" s="111"/>
      <c r="AJ261" s="111"/>
      <c r="AK261" s="112"/>
    </row>
    <row r="262" spans="1:37" ht="12.75">
      <c r="A262" s="258">
        <v>2</v>
      </c>
      <c r="B262" s="258"/>
      <c r="C262" s="259"/>
      <c r="D262" s="259"/>
      <c r="E262" s="407"/>
      <c r="F262" s="408"/>
      <c r="G262" s="409">
        <v>10</v>
      </c>
      <c r="H262" s="410">
        <f t="shared" si="7"/>
      </c>
      <c r="I262" s="411"/>
      <c r="J262" s="412"/>
      <c r="K262" s="413"/>
      <c r="L262" s="414"/>
      <c r="M262" s="414"/>
      <c r="N262" s="414"/>
      <c r="O262" s="414"/>
      <c r="P262" s="415"/>
      <c r="Q262" s="413"/>
      <c r="R262" s="414"/>
      <c r="S262" s="414"/>
      <c r="T262" s="414"/>
      <c r="U262" s="414"/>
      <c r="V262" s="415"/>
      <c r="W262" s="407"/>
      <c r="X262" s="408"/>
      <c r="Y262" s="113"/>
      <c r="Z262" s="105"/>
      <c r="AA262" s="105"/>
      <c r="AB262" s="105"/>
      <c r="AC262" s="114"/>
      <c r="AD262" s="114"/>
      <c r="AE262" s="105"/>
      <c r="AF262" s="105"/>
      <c r="AG262" s="105"/>
      <c r="AH262" s="84"/>
      <c r="AI262" s="84"/>
      <c r="AJ262" s="84"/>
      <c r="AK262" s="115"/>
    </row>
    <row r="263" spans="1:37" ht="12.75">
      <c r="A263" s="258">
        <v>3</v>
      </c>
      <c r="B263" s="258"/>
      <c r="C263" s="259"/>
      <c r="D263" s="259"/>
      <c r="E263" s="407"/>
      <c r="F263" s="408"/>
      <c r="G263" s="409">
        <v>11</v>
      </c>
      <c r="H263" s="410">
        <f t="shared" si="7"/>
      </c>
      <c r="I263" s="411"/>
      <c r="J263" s="412"/>
      <c r="K263" s="413"/>
      <c r="L263" s="414"/>
      <c r="M263" s="414"/>
      <c r="N263" s="414"/>
      <c r="O263" s="414"/>
      <c r="P263" s="415"/>
      <c r="Q263" s="413"/>
      <c r="R263" s="414"/>
      <c r="S263" s="414"/>
      <c r="T263" s="414"/>
      <c r="U263" s="414"/>
      <c r="V263" s="415"/>
      <c r="W263" s="407"/>
      <c r="X263" s="408"/>
      <c r="Y263" s="113"/>
      <c r="Z263" s="105"/>
      <c r="AA263" s="105"/>
      <c r="AB263" s="105"/>
      <c r="AC263" s="114"/>
      <c r="AD263" s="114"/>
      <c r="AE263" s="105"/>
      <c r="AF263" s="105"/>
      <c r="AG263" s="105"/>
      <c r="AH263" s="84"/>
      <c r="AI263" s="84"/>
      <c r="AJ263" s="84"/>
      <c r="AK263" s="115"/>
    </row>
    <row r="264" spans="1:37" ht="12.75">
      <c r="A264" s="258">
        <v>4</v>
      </c>
      <c r="B264" s="258"/>
      <c r="C264" s="259"/>
      <c r="D264" s="259"/>
      <c r="E264" s="407"/>
      <c r="F264" s="408"/>
      <c r="G264" s="409">
        <v>12</v>
      </c>
      <c r="H264" s="410">
        <f t="shared" si="7"/>
      </c>
      <c r="I264" s="411"/>
      <c r="J264" s="412"/>
      <c r="K264" s="413"/>
      <c r="L264" s="414"/>
      <c r="M264" s="414"/>
      <c r="N264" s="414"/>
      <c r="O264" s="414"/>
      <c r="P264" s="415"/>
      <c r="Q264" s="413"/>
      <c r="R264" s="414"/>
      <c r="S264" s="414"/>
      <c r="T264" s="414"/>
      <c r="U264" s="414"/>
      <c r="V264" s="415"/>
      <c r="W264" s="407"/>
      <c r="X264" s="408"/>
      <c r="Y264" s="116"/>
      <c r="Z264" s="103"/>
      <c r="AA264" s="103"/>
      <c r="AB264" s="103"/>
      <c r="AC264" s="117"/>
      <c r="AD264" s="117"/>
      <c r="AE264" s="103"/>
      <c r="AF264" s="103"/>
      <c r="AG264" s="103"/>
      <c r="AH264" s="81"/>
      <c r="AI264" s="81"/>
      <c r="AJ264" s="81"/>
      <c r="AK264" s="83"/>
    </row>
    <row r="265" spans="1:37" ht="12.75">
      <c r="A265" s="258">
        <v>5</v>
      </c>
      <c r="B265" s="258"/>
      <c r="C265" s="259"/>
      <c r="D265" s="259"/>
      <c r="E265" s="407"/>
      <c r="F265" s="408"/>
      <c r="G265" s="409">
        <v>13</v>
      </c>
      <c r="H265" s="410">
        <f t="shared" si="7"/>
      </c>
      <c r="I265" s="411"/>
      <c r="J265" s="412"/>
      <c r="K265" s="413"/>
      <c r="L265" s="414"/>
      <c r="M265" s="414"/>
      <c r="N265" s="414"/>
      <c r="O265" s="414"/>
      <c r="P265" s="415"/>
      <c r="Q265" s="413"/>
      <c r="R265" s="414"/>
      <c r="S265" s="414"/>
      <c r="T265" s="414"/>
      <c r="U265" s="414"/>
      <c r="V265" s="415"/>
      <c r="W265" s="407"/>
      <c r="X265" s="408"/>
      <c r="Y265" s="108"/>
      <c r="Z265" s="109"/>
      <c r="AA265" s="109"/>
      <c r="AB265" s="109"/>
      <c r="AC265" s="110"/>
      <c r="AD265" s="110"/>
      <c r="AE265" s="109"/>
      <c r="AF265" s="109"/>
      <c r="AG265" s="109"/>
      <c r="AH265" s="111"/>
      <c r="AI265" s="111"/>
      <c r="AJ265" s="111"/>
      <c r="AK265" s="112"/>
    </row>
    <row r="266" spans="1:37" ht="12.75">
      <c r="A266" s="258">
        <v>6</v>
      </c>
      <c r="B266" s="258"/>
      <c r="C266" s="259"/>
      <c r="D266" s="259"/>
      <c r="E266" s="407"/>
      <c r="F266" s="408"/>
      <c r="G266" s="409">
        <v>14</v>
      </c>
      <c r="H266" s="410">
        <f t="shared" si="7"/>
      </c>
      <c r="I266" s="411"/>
      <c r="J266" s="412"/>
      <c r="K266" s="413"/>
      <c r="L266" s="414"/>
      <c r="M266" s="414"/>
      <c r="N266" s="414"/>
      <c r="O266" s="414"/>
      <c r="P266" s="415"/>
      <c r="Q266" s="413"/>
      <c r="R266" s="414"/>
      <c r="S266" s="414"/>
      <c r="T266" s="414"/>
      <c r="U266" s="414"/>
      <c r="V266" s="415"/>
      <c r="W266" s="407"/>
      <c r="X266" s="408"/>
      <c r="Y266" s="416" t="s">
        <v>176</v>
      </c>
      <c r="Z266" s="417"/>
      <c r="AA266" s="417"/>
      <c r="AB266" s="417"/>
      <c r="AC266" s="417"/>
      <c r="AD266" s="417"/>
      <c r="AE266" s="417"/>
      <c r="AF266" s="417"/>
      <c r="AG266" s="417"/>
      <c r="AH266" s="417"/>
      <c r="AI266" s="417"/>
      <c r="AJ266" s="417"/>
      <c r="AK266" s="418"/>
    </row>
    <row r="267" spans="1:37" ht="12.75">
      <c r="A267" s="258">
        <v>7</v>
      </c>
      <c r="B267" s="258"/>
      <c r="C267" s="259"/>
      <c r="D267" s="259"/>
      <c r="E267" s="407"/>
      <c r="F267" s="408"/>
      <c r="G267" s="409">
        <v>15</v>
      </c>
      <c r="H267" s="410">
        <f t="shared" si="7"/>
      </c>
      <c r="I267" s="411"/>
      <c r="J267" s="412"/>
      <c r="K267" s="413"/>
      <c r="L267" s="414"/>
      <c r="M267" s="414"/>
      <c r="N267" s="414"/>
      <c r="O267" s="414"/>
      <c r="P267" s="415"/>
      <c r="Q267" s="413"/>
      <c r="R267" s="414"/>
      <c r="S267" s="414"/>
      <c r="T267" s="414"/>
      <c r="U267" s="414"/>
      <c r="V267" s="415"/>
      <c r="W267" s="407"/>
      <c r="X267" s="408"/>
      <c r="Y267" s="116"/>
      <c r="Z267" s="103"/>
      <c r="AA267" s="103"/>
      <c r="AB267" s="103"/>
      <c r="AC267" s="117"/>
      <c r="AD267" s="82"/>
      <c r="AE267" s="81"/>
      <c r="AF267" s="81"/>
      <c r="AG267" s="81"/>
      <c r="AH267" s="81"/>
      <c r="AI267" s="81"/>
      <c r="AJ267" s="81"/>
      <c r="AK267" s="83"/>
    </row>
    <row r="268" spans="1:37" ht="12.75">
      <c r="A268" s="258">
        <v>8</v>
      </c>
      <c r="B268" s="258"/>
      <c r="C268" s="259"/>
      <c r="D268" s="259"/>
      <c r="E268" s="407"/>
      <c r="F268" s="408"/>
      <c r="G268" s="409">
        <v>16</v>
      </c>
      <c r="H268" s="410">
        <f t="shared" si="7"/>
      </c>
      <c r="I268" s="411"/>
      <c r="J268" s="412"/>
      <c r="K268" s="413"/>
      <c r="L268" s="414"/>
      <c r="M268" s="414"/>
      <c r="N268" s="414"/>
      <c r="O268" s="414"/>
      <c r="P268" s="415"/>
      <c r="Q268" s="413"/>
      <c r="R268" s="414"/>
      <c r="S268" s="414"/>
      <c r="T268" s="414"/>
      <c r="U268" s="414"/>
      <c r="V268" s="415"/>
      <c r="W268" s="407"/>
      <c r="X268" s="408"/>
      <c r="Y268" s="108"/>
      <c r="Z268" s="109"/>
      <c r="AA268" s="109"/>
      <c r="AB268" s="109"/>
      <c r="AC268" s="110"/>
      <c r="AD268" s="118"/>
      <c r="AE268" s="111"/>
      <c r="AF268" s="111"/>
      <c r="AG268" s="111"/>
      <c r="AH268" s="111"/>
      <c r="AI268" s="111"/>
      <c r="AJ268" s="111"/>
      <c r="AK268" s="112"/>
    </row>
  </sheetData>
  <sheetProtection/>
  <mergeCells count="2350">
    <mergeCell ref="E266:F266"/>
    <mergeCell ref="G266:H266"/>
    <mergeCell ref="I266:J266"/>
    <mergeCell ref="K266:P266"/>
    <mergeCell ref="Q266:V266"/>
    <mergeCell ref="W266:X266"/>
    <mergeCell ref="Y266:AK266"/>
    <mergeCell ref="E267:F267"/>
    <mergeCell ref="G267:H267"/>
    <mergeCell ref="I267:J267"/>
    <mergeCell ref="K267:P267"/>
    <mergeCell ref="Q267:V267"/>
    <mergeCell ref="W267:X267"/>
    <mergeCell ref="E268:F268"/>
    <mergeCell ref="G268:H268"/>
    <mergeCell ref="I268:J268"/>
    <mergeCell ref="K268:P268"/>
    <mergeCell ref="Q268:V268"/>
    <mergeCell ref="W268:X268"/>
    <mergeCell ref="E263:F263"/>
    <mergeCell ref="G263:H263"/>
    <mergeCell ref="I263:J263"/>
    <mergeCell ref="K263:P263"/>
    <mergeCell ref="Q263:V263"/>
    <mergeCell ref="W263:X263"/>
    <mergeCell ref="E264:F264"/>
    <mergeCell ref="G264:H264"/>
    <mergeCell ref="I264:J264"/>
    <mergeCell ref="K264:P264"/>
    <mergeCell ref="Q264:V264"/>
    <mergeCell ref="W264:X264"/>
    <mergeCell ref="E265:F265"/>
    <mergeCell ref="G265:H265"/>
    <mergeCell ref="I265:J265"/>
    <mergeCell ref="K265:P265"/>
    <mergeCell ref="Q265:V265"/>
    <mergeCell ref="W265:X265"/>
    <mergeCell ref="A259:F259"/>
    <mergeCell ref="G259:X259"/>
    <mergeCell ref="Y259:AK259"/>
    <mergeCell ref="E260:F260"/>
    <mergeCell ref="G260:H260"/>
    <mergeCell ref="I260:J260"/>
    <mergeCell ref="K260:P260"/>
    <mergeCell ref="Q260:V260"/>
    <mergeCell ref="W260:X260"/>
    <mergeCell ref="E261:F261"/>
    <mergeCell ref="G261:H261"/>
    <mergeCell ref="I261:J261"/>
    <mergeCell ref="K261:P261"/>
    <mergeCell ref="Q261:V261"/>
    <mergeCell ref="W261:X261"/>
    <mergeCell ref="E262:F262"/>
    <mergeCell ref="G262:H262"/>
    <mergeCell ref="I262:J262"/>
    <mergeCell ref="K262:P262"/>
    <mergeCell ref="Q262:V262"/>
    <mergeCell ref="W262:X262"/>
    <mergeCell ref="E256:F256"/>
    <mergeCell ref="G256:H256"/>
    <mergeCell ref="I256:J256"/>
    <mergeCell ref="K256:L256"/>
    <mergeCell ref="M256:N256"/>
    <mergeCell ref="O256:P256"/>
    <mergeCell ref="Q256:R256"/>
    <mergeCell ref="S256:T256"/>
    <mergeCell ref="U256:V256"/>
    <mergeCell ref="W256:X256"/>
    <mergeCell ref="Y256:Z256"/>
    <mergeCell ref="AA256:AB256"/>
    <mergeCell ref="AC256:AD256"/>
    <mergeCell ref="E257:F257"/>
    <mergeCell ref="G257:H257"/>
    <mergeCell ref="I257:J257"/>
    <mergeCell ref="K257:L257"/>
    <mergeCell ref="M257:N257"/>
    <mergeCell ref="O257:P257"/>
    <mergeCell ref="Q257:R257"/>
    <mergeCell ref="S257:T257"/>
    <mergeCell ref="U257:V257"/>
    <mergeCell ref="W257:X257"/>
    <mergeCell ref="Y257:Z257"/>
    <mergeCell ref="AA257:AB257"/>
    <mergeCell ref="AC257:AD257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U254:V254"/>
    <mergeCell ref="W254:X254"/>
    <mergeCell ref="Y254:Z254"/>
    <mergeCell ref="AA254:AB254"/>
    <mergeCell ref="AC254:AD254"/>
    <mergeCell ref="E255:F255"/>
    <mergeCell ref="G255:H255"/>
    <mergeCell ref="I255:J255"/>
    <mergeCell ref="K255:L255"/>
    <mergeCell ref="M255:N255"/>
    <mergeCell ref="O255:P255"/>
    <mergeCell ref="Q255:R255"/>
    <mergeCell ref="S255:T255"/>
    <mergeCell ref="U255:V255"/>
    <mergeCell ref="W255:X255"/>
    <mergeCell ref="Y255:Z255"/>
    <mergeCell ref="AA255:AB255"/>
    <mergeCell ref="AC255:AD255"/>
    <mergeCell ref="E252:F252"/>
    <mergeCell ref="G252:H252"/>
    <mergeCell ref="I252:J252"/>
    <mergeCell ref="K252:L252"/>
    <mergeCell ref="M252:N252"/>
    <mergeCell ref="O252:P252"/>
    <mergeCell ref="Q252:R252"/>
    <mergeCell ref="S252:T252"/>
    <mergeCell ref="U252:V252"/>
    <mergeCell ref="W252:X252"/>
    <mergeCell ref="Y252:Z252"/>
    <mergeCell ref="AA252:AB252"/>
    <mergeCell ref="AC252:AD252"/>
    <mergeCell ref="E253:F253"/>
    <mergeCell ref="G253:H253"/>
    <mergeCell ref="I253:J253"/>
    <mergeCell ref="K253:L253"/>
    <mergeCell ref="M253:N253"/>
    <mergeCell ref="O253:P253"/>
    <mergeCell ref="Q253:R253"/>
    <mergeCell ref="S253:T253"/>
    <mergeCell ref="U253:V253"/>
    <mergeCell ref="W253:X253"/>
    <mergeCell ref="Y253:Z253"/>
    <mergeCell ref="AA253:AB253"/>
    <mergeCell ref="AC253:AD253"/>
    <mergeCell ref="E250:F250"/>
    <mergeCell ref="G250:H250"/>
    <mergeCell ref="I250:J250"/>
    <mergeCell ref="K250:L250"/>
    <mergeCell ref="M250:N250"/>
    <mergeCell ref="O250:P250"/>
    <mergeCell ref="Q250:R250"/>
    <mergeCell ref="S250:T250"/>
    <mergeCell ref="U250:V250"/>
    <mergeCell ref="W250:X250"/>
    <mergeCell ref="Y250:Z250"/>
    <mergeCell ref="AA250:AB250"/>
    <mergeCell ref="AC250:AD250"/>
    <mergeCell ref="E251:F251"/>
    <mergeCell ref="G251:H251"/>
    <mergeCell ref="I251:J251"/>
    <mergeCell ref="K251:L251"/>
    <mergeCell ref="M251:N251"/>
    <mergeCell ref="O251:P251"/>
    <mergeCell ref="Q251:R251"/>
    <mergeCell ref="S251:T251"/>
    <mergeCell ref="U251:V251"/>
    <mergeCell ref="W251:X251"/>
    <mergeCell ref="Y251:Z251"/>
    <mergeCell ref="AA251:AB251"/>
    <mergeCell ref="AC251:AD251"/>
    <mergeCell ref="E248:F248"/>
    <mergeCell ref="G248:H248"/>
    <mergeCell ref="I248:J248"/>
    <mergeCell ref="K248:L248"/>
    <mergeCell ref="M248:N248"/>
    <mergeCell ref="O248:P248"/>
    <mergeCell ref="Q248:R248"/>
    <mergeCell ref="S248:T248"/>
    <mergeCell ref="U248:V248"/>
    <mergeCell ref="W248:X248"/>
    <mergeCell ref="Y248:Z248"/>
    <mergeCell ref="AA248:AB248"/>
    <mergeCell ref="AC248:AD248"/>
    <mergeCell ref="E249:F249"/>
    <mergeCell ref="G249:H249"/>
    <mergeCell ref="I249:J249"/>
    <mergeCell ref="K249:L249"/>
    <mergeCell ref="M249:N249"/>
    <mergeCell ref="O249:P249"/>
    <mergeCell ref="Q249:R249"/>
    <mergeCell ref="S249:T249"/>
    <mergeCell ref="U249:V249"/>
    <mergeCell ref="W249:X249"/>
    <mergeCell ref="Y249:Z249"/>
    <mergeCell ref="AA249:AB249"/>
    <mergeCell ref="AC249:AD249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W246:X246"/>
    <mergeCell ref="Y246:Z246"/>
    <mergeCell ref="AA246:AB246"/>
    <mergeCell ref="AC246:AD246"/>
    <mergeCell ref="E247:F247"/>
    <mergeCell ref="G247:H247"/>
    <mergeCell ref="I247:J247"/>
    <mergeCell ref="K247:L247"/>
    <mergeCell ref="M247:N247"/>
    <mergeCell ref="O247:P247"/>
    <mergeCell ref="Q247:R247"/>
    <mergeCell ref="S247:T247"/>
    <mergeCell ref="U247:V247"/>
    <mergeCell ref="W247:X247"/>
    <mergeCell ref="Y247:Z247"/>
    <mergeCell ref="AA247:AB247"/>
    <mergeCell ref="AC247:AD247"/>
    <mergeCell ref="E244:F244"/>
    <mergeCell ref="G244:H244"/>
    <mergeCell ref="I244:J244"/>
    <mergeCell ref="K244:L244"/>
    <mergeCell ref="M244:N244"/>
    <mergeCell ref="O244:P244"/>
    <mergeCell ref="Q244:R244"/>
    <mergeCell ref="S244:T244"/>
    <mergeCell ref="U244:V244"/>
    <mergeCell ref="W244:X244"/>
    <mergeCell ref="Y244:Z244"/>
    <mergeCell ref="AA244:AB244"/>
    <mergeCell ref="AC244:AD244"/>
    <mergeCell ref="D245:H245"/>
    <mergeCell ref="I245:J245"/>
    <mergeCell ref="K245:L245"/>
    <mergeCell ref="M245:N245"/>
    <mergeCell ref="O245:P245"/>
    <mergeCell ref="Q245:R245"/>
    <mergeCell ref="S245:T245"/>
    <mergeCell ref="U245:V245"/>
    <mergeCell ref="W245:X245"/>
    <mergeCell ref="Y245:Z245"/>
    <mergeCell ref="AA245:AB245"/>
    <mergeCell ref="AC245:AD245"/>
    <mergeCell ref="A241:B241"/>
    <mergeCell ref="C241:D241"/>
    <mergeCell ref="E241:G241"/>
    <mergeCell ref="H241:V241"/>
    <mergeCell ref="W241:Y241"/>
    <mergeCell ref="Z241:AK241"/>
    <mergeCell ref="A242:B242"/>
    <mergeCell ref="C242:D242"/>
    <mergeCell ref="E242:G242"/>
    <mergeCell ref="H242:J242"/>
    <mergeCell ref="K242:P242"/>
    <mergeCell ref="Q242:S242"/>
    <mergeCell ref="T242:V242"/>
    <mergeCell ref="W242:AK242"/>
    <mergeCell ref="E243:F243"/>
    <mergeCell ref="G243:H243"/>
    <mergeCell ref="I243:J243"/>
    <mergeCell ref="K243:L243"/>
    <mergeCell ref="M243:N243"/>
    <mergeCell ref="O243:P243"/>
    <mergeCell ref="Q243:R243"/>
    <mergeCell ref="S243:T243"/>
    <mergeCell ref="U243:V243"/>
    <mergeCell ref="W243:X243"/>
    <mergeCell ref="Y243:Z243"/>
    <mergeCell ref="AA243:AB243"/>
    <mergeCell ref="AC243:AD243"/>
    <mergeCell ref="AE243:AE244"/>
    <mergeCell ref="AF243:AF244"/>
    <mergeCell ref="AG243:AG244"/>
    <mergeCell ref="AH243:AH244"/>
    <mergeCell ref="AJ243:AK244"/>
    <mergeCell ref="E52:F52"/>
    <mergeCell ref="G52:H52"/>
    <mergeCell ref="I52:J52"/>
    <mergeCell ref="AC52:AD52"/>
    <mergeCell ref="AA52:AB52"/>
    <mergeCell ref="Y52:Z52"/>
    <mergeCell ref="W52:X52"/>
    <mergeCell ref="U52:V52"/>
    <mergeCell ref="S52:T52"/>
    <mergeCell ref="Q52:R52"/>
    <mergeCell ref="O52:P52"/>
    <mergeCell ref="M52:N52"/>
    <mergeCell ref="K52:L52"/>
    <mergeCell ref="W165:X165"/>
    <mergeCell ref="Y162:AK162"/>
    <mergeCell ref="A162:F162"/>
    <mergeCell ref="G162:X162"/>
    <mergeCell ref="W160:X160"/>
    <mergeCell ref="AC160:AD160"/>
    <mergeCell ref="Y160:Z160"/>
    <mergeCell ref="AA160:AB160"/>
    <mergeCell ref="U160:V160"/>
    <mergeCell ref="AC159:AD159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M159:N159"/>
    <mergeCell ref="Q171:V171"/>
    <mergeCell ref="W171:X171"/>
    <mergeCell ref="E171:F171"/>
    <mergeCell ref="G171:H171"/>
    <mergeCell ref="I171:J171"/>
    <mergeCell ref="K171:P171"/>
    <mergeCell ref="E170:F170"/>
    <mergeCell ref="G170:H170"/>
    <mergeCell ref="I170:J170"/>
    <mergeCell ref="K170:P170"/>
    <mergeCell ref="Q170:V170"/>
    <mergeCell ref="W170:X170"/>
    <mergeCell ref="E169:F169"/>
    <mergeCell ref="G169:H169"/>
    <mergeCell ref="K169:P169"/>
    <mergeCell ref="I168:J168"/>
    <mergeCell ref="K168:P168"/>
    <mergeCell ref="Y169:AK169"/>
    <mergeCell ref="Q169:V169"/>
    <mergeCell ref="W169:X169"/>
    <mergeCell ref="I169:J169"/>
    <mergeCell ref="W166:X166"/>
    <mergeCell ref="Q167:V167"/>
    <mergeCell ref="W167:X167"/>
    <mergeCell ref="Q168:V168"/>
    <mergeCell ref="W168:X168"/>
    <mergeCell ref="E168:F168"/>
    <mergeCell ref="G168:H168"/>
    <mergeCell ref="K167:P167"/>
    <mergeCell ref="E166:F166"/>
    <mergeCell ref="G166:H166"/>
    <mergeCell ref="I166:J166"/>
    <mergeCell ref="K166:P166"/>
    <mergeCell ref="Q166:V166"/>
    <mergeCell ref="E167:F167"/>
    <mergeCell ref="G167:H167"/>
    <mergeCell ref="I167:J167"/>
    <mergeCell ref="G164:H164"/>
    <mergeCell ref="E165:F165"/>
    <mergeCell ref="G165:H165"/>
    <mergeCell ref="I164:J164"/>
    <mergeCell ref="K164:P164"/>
    <mergeCell ref="E164:F164"/>
    <mergeCell ref="Q164:V164"/>
    <mergeCell ref="W164:X164"/>
    <mergeCell ref="E163:F163"/>
    <mergeCell ref="G163:H163"/>
    <mergeCell ref="I163:J163"/>
    <mergeCell ref="K163:P163"/>
    <mergeCell ref="Q163:V163"/>
    <mergeCell ref="I165:J165"/>
    <mergeCell ref="K165:P165"/>
    <mergeCell ref="W163:X163"/>
    <mergeCell ref="Q165:V165"/>
    <mergeCell ref="W158:X158"/>
    <mergeCell ref="Y158:Z158"/>
    <mergeCell ref="AA158:AB158"/>
    <mergeCell ref="S158:T158"/>
    <mergeCell ref="U158:V158"/>
    <mergeCell ref="E159:F159"/>
    <mergeCell ref="G159:H159"/>
    <mergeCell ref="I159:J159"/>
    <mergeCell ref="K159:L159"/>
    <mergeCell ref="O159:P159"/>
    <mergeCell ref="Q159:R159"/>
    <mergeCell ref="S159:T159"/>
    <mergeCell ref="U159:V159"/>
    <mergeCell ref="AC158:AD158"/>
    <mergeCell ref="AC157:AD157"/>
    <mergeCell ref="E158:F158"/>
    <mergeCell ref="G158:H158"/>
    <mergeCell ref="I158:J158"/>
    <mergeCell ref="K158:L158"/>
    <mergeCell ref="M158:N158"/>
    <mergeCell ref="O158:P158"/>
    <mergeCell ref="Q158:R158"/>
    <mergeCell ref="M157:N157"/>
    <mergeCell ref="W157:X157"/>
    <mergeCell ref="Y157:Z157"/>
    <mergeCell ref="AA157:AB157"/>
    <mergeCell ref="W159:X159"/>
    <mergeCell ref="Y159:Z159"/>
    <mergeCell ref="AA159:AB159"/>
    <mergeCell ref="W156:X156"/>
    <mergeCell ref="Y156:Z156"/>
    <mergeCell ref="AA156:AB156"/>
    <mergeCell ref="S156:T156"/>
    <mergeCell ref="U156:V156"/>
    <mergeCell ref="E157:F157"/>
    <mergeCell ref="G157:H157"/>
    <mergeCell ref="I157:J157"/>
    <mergeCell ref="K157:L157"/>
    <mergeCell ref="O157:P157"/>
    <mergeCell ref="Q157:R157"/>
    <mergeCell ref="S157:T157"/>
    <mergeCell ref="U157:V157"/>
    <mergeCell ref="AC156:AD156"/>
    <mergeCell ref="AC155:AD155"/>
    <mergeCell ref="E156:F156"/>
    <mergeCell ref="G156:H156"/>
    <mergeCell ref="I156:J156"/>
    <mergeCell ref="K156:L156"/>
    <mergeCell ref="M156:N156"/>
    <mergeCell ref="O156:P156"/>
    <mergeCell ref="Q156:R156"/>
    <mergeCell ref="M155:N155"/>
    <mergeCell ref="W155:X155"/>
    <mergeCell ref="Y155:Z155"/>
    <mergeCell ref="AA155:AB155"/>
    <mergeCell ref="W154:X154"/>
    <mergeCell ref="Y154:Z154"/>
    <mergeCell ref="AA154:AB154"/>
    <mergeCell ref="S154:T154"/>
    <mergeCell ref="U154:V154"/>
    <mergeCell ref="E155:F155"/>
    <mergeCell ref="G155:H155"/>
    <mergeCell ref="I155:J155"/>
    <mergeCell ref="K155:L155"/>
    <mergeCell ref="O155:P155"/>
    <mergeCell ref="Q155:R155"/>
    <mergeCell ref="S155:T155"/>
    <mergeCell ref="U155:V155"/>
    <mergeCell ref="AC154:AD154"/>
    <mergeCell ref="AC153:AD153"/>
    <mergeCell ref="E154:F154"/>
    <mergeCell ref="G154:H154"/>
    <mergeCell ref="I154:J154"/>
    <mergeCell ref="K154:L154"/>
    <mergeCell ref="M154:N154"/>
    <mergeCell ref="O154:P154"/>
    <mergeCell ref="Q154:R154"/>
    <mergeCell ref="M153:N153"/>
    <mergeCell ref="W153:X153"/>
    <mergeCell ref="Y153:Z153"/>
    <mergeCell ref="AA153:AB153"/>
    <mergeCell ref="W152:X152"/>
    <mergeCell ref="Y152:Z152"/>
    <mergeCell ref="AA152:AB152"/>
    <mergeCell ref="S152:T152"/>
    <mergeCell ref="U152:V152"/>
    <mergeCell ref="E153:F153"/>
    <mergeCell ref="G153:H153"/>
    <mergeCell ref="I153:J153"/>
    <mergeCell ref="K153:L153"/>
    <mergeCell ref="O153:P153"/>
    <mergeCell ref="Q153:R153"/>
    <mergeCell ref="S153:T153"/>
    <mergeCell ref="U153:V153"/>
    <mergeCell ref="AC152:AD152"/>
    <mergeCell ref="AC151:AD151"/>
    <mergeCell ref="E152:F152"/>
    <mergeCell ref="G152:H152"/>
    <mergeCell ref="I152:J152"/>
    <mergeCell ref="K152:L152"/>
    <mergeCell ref="M152:N152"/>
    <mergeCell ref="O152:P152"/>
    <mergeCell ref="Q152:R152"/>
    <mergeCell ref="M151:N151"/>
    <mergeCell ref="W151:X151"/>
    <mergeCell ref="Y151:Z151"/>
    <mergeCell ref="AA151:AB151"/>
    <mergeCell ref="W150:X150"/>
    <mergeCell ref="Y150:Z150"/>
    <mergeCell ref="AA150:AB150"/>
    <mergeCell ref="S150:T150"/>
    <mergeCell ref="U150:V150"/>
    <mergeCell ref="E151:F151"/>
    <mergeCell ref="G151:H151"/>
    <mergeCell ref="I151:J151"/>
    <mergeCell ref="K151:L151"/>
    <mergeCell ref="O151:P151"/>
    <mergeCell ref="Q151:R151"/>
    <mergeCell ref="S151:T151"/>
    <mergeCell ref="U151:V151"/>
    <mergeCell ref="AC150:AD150"/>
    <mergeCell ref="AC149:AD149"/>
    <mergeCell ref="E150:F150"/>
    <mergeCell ref="G150:H150"/>
    <mergeCell ref="I150:J150"/>
    <mergeCell ref="K150:L150"/>
    <mergeCell ref="M150:N150"/>
    <mergeCell ref="O150:P150"/>
    <mergeCell ref="Q150:R150"/>
    <mergeCell ref="M149:N149"/>
    <mergeCell ref="W149:X149"/>
    <mergeCell ref="Y149:Z149"/>
    <mergeCell ref="AA149:AB149"/>
    <mergeCell ref="W148:X148"/>
    <mergeCell ref="Y148:Z148"/>
    <mergeCell ref="AA148:AB148"/>
    <mergeCell ref="S148:T148"/>
    <mergeCell ref="U148:V148"/>
    <mergeCell ref="E149:F149"/>
    <mergeCell ref="G149:H149"/>
    <mergeCell ref="I149:J149"/>
    <mergeCell ref="K149:L149"/>
    <mergeCell ref="O149:P149"/>
    <mergeCell ref="Q149:R149"/>
    <mergeCell ref="S149:T149"/>
    <mergeCell ref="U149:V149"/>
    <mergeCell ref="AC148:AD148"/>
    <mergeCell ref="AC147:AD147"/>
    <mergeCell ref="E148:F148"/>
    <mergeCell ref="G148:H148"/>
    <mergeCell ref="I148:J148"/>
    <mergeCell ref="K148:L148"/>
    <mergeCell ref="M148:N148"/>
    <mergeCell ref="O148:P148"/>
    <mergeCell ref="Q148:R148"/>
    <mergeCell ref="M147:N147"/>
    <mergeCell ref="W147:X147"/>
    <mergeCell ref="Y147:Z147"/>
    <mergeCell ref="AA147:AB147"/>
    <mergeCell ref="W146:X146"/>
    <mergeCell ref="Y146:Z146"/>
    <mergeCell ref="AA146:AB146"/>
    <mergeCell ref="S146:T146"/>
    <mergeCell ref="U146:V146"/>
    <mergeCell ref="E147:F147"/>
    <mergeCell ref="G147:H147"/>
    <mergeCell ref="I147:J147"/>
    <mergeCell ref="K147:L147"/>
    <mergeCell ref="O147:P147"/>
    <mergeCell ref="Q147:R147"/>
    <mergeCell ref="S147:T147"/>
    <mergeCell ref="U147:V147"/>
    <mergeCell ref="AC146:AD146"/>
    <mergeCell ref="AC145:AD145"/>
    <mergeCell ref="E146:F146"/>
    <mergeCell ref="G146:H146"/>
    <mergeCell ref="I146:J146"/>
    <mergeCell ref="K146:L146"/>
    <mergeCell ref="M146:N146"/>
    <mergeCell ref="O146:P146"/>
    <mergeCell ref="Q146:R146"/>
    <mergeCell ref="AA145:AB145"/>
    <mergeCell ref="Y145:Z145"/>
    <mergeCell ref="M145:N145"/>
    <mergeCell ref="O145:P145"/>
    <mergeCell ref="Q145:R145"/>
    <mergeCell ref="S145:T145"/>
    <mergeCell ref="I145:J145"/>
    <mergeCell ref="K145:L145"/>
    <mergeCell ref="U145:V145"/>
    <mergeCell ref="W145:X145"/>
    <mergeCell ref="AJ143:AK144"/>
    <mergeCell ref="U143:V143"/>
    <mergeCell ref="W143:X143"/>
    <mergeCell ref="Y143:Z143"/>
    <mergeCell ref="AA143:AB143"/>
    <mergeCell ref="AE143:AE144"/>
    <mergeCell ref="AF143:AF144"/>
    <mergeCell ref="AG143:AG144"/>
    <mergeCell ref="AC143:AD143"/>
    <mergeCell ref="AC144:AD144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AA144:AB144"/>
    <mergeCell ref="D145:H145"/>
    <mergeCell ref="Y144:Z144"/>
    <mergeCell ref="Z141:AK141"/>
    <mergeCell ref="A142:B142"/>
    <mergeCell ref="C142:D142"/>
    <mergeCell ref="E142:G142"/>
    <mergeCell ref="H142:J142"/>
    <mergeCell ref="K142:P142"/>
    <mergeCell ref="Q142:S142"/>
    <mergeCell ref="T142:V142"/>
    <mergeCell ref="W142:AK142"/>
    <mergeCell ref="W141:Y141"/>
    <mergeCell ref="E137:F137"/>
    <mergeCell ref="G137:H137"/>
    <mergeCell ref="I137:J137"/>
    <mergeCell ref="A141:B141"/>
    <mergeCell ref="C141:D141"/>
    <mergeCell ref="E141:G141"/>
    <mergeCell ref="H141:V141"/>
    <mergeCell ref="K137:P137"/>
    <mergeCell ref="Q137:V137"/>
    <mergeCell ref="U144:V144"/>
    <mergeCell ref="W144:X144"/>
    <mergeCell ref="Q144:R144"/>
    <mergeCell ref="S144:T144"/>
    <mergeCell ref="E144:F144"/>
    <mergeCell ref="G144:H144"/>
    <mergeCell ref="I144:J144"/>
    <mergeCell ref="K144:L144"/>
    <mergeCell ref="M144:N144"/>
    <mergeCell ref="O144:P144"/>
    <mergeCell ref="AH143:AH144"/>
    <mergeCell ref="Y135:AK135"/>
    <mergeCell ref="E136:F136"/>
    <mergeCell ref="G136:H136"/>
    <mergeCell ref="I136:J136"/>
    <mergeCell ref="K136:P136"/>
    <mergeCell ref="Q136:V136"/>
    <mergeCell ref="W136:X136"/>
    <mergeCell ref="W137:X137"/>
    <mergeCell ref="Q135:V135"/>
    <mergeCell ref="W135:X135"/>
    <mergeCell ref="E134:F134"/>
    <mergeCell ref="G134:H134"/>
    <mergeCell ref="E135:F135"/>
    <mergeCell ref="G135:H135"/>
    <mergeCell ref="I135:J135"/>
    <mergeCell ref="K135:P135"/>
    <mergeCell ref="I134:J134"/>
    <mergeCell ref="Q132:V132"/>
    <mergeCell ref="W132:X132"/>
    <mergeCell ref="Q133:V133"/>
    <mergeCell ref="W133:X133"/>
    <mergeCell ref="Q134:V134"/>
    <mergeCell ref="W134:X134"/>
    <mergeCell ref="K133:P133"/>
    <mergeCell ref="E132:F132"/>
    <mergeCell ref="G132:H132"/>
    <mergeCell ref="I132:J132"/>
    <mergeCell ref="K132:P132"/>
    <mergeCell ref="K134:P134"/>
    <mergeCell ref="G130:H130"/>
    <mergeCell ref="E131:F131"/>
    <mergeCell ref="G131:H131"/>
    <mergeCell ref="E133:F133"/>
    <mergeCell ref="G133:H133"/>
    <mergeCell ref="I133:J133"/>
    <mergeCell ref="E129:F129"/>
    <mergeCell ref="G129:H129"/>
    <mergeCell ref="I129:J129"/>
    <mergeCell ref="K129:P129"/>
    <mergeCell ref="Q129:V129"/>
    <mergeCell ref="I131:J131"/>
    <mergeCell ref="K131:P131"/>
    <mergeCell ref="I130:J130"/>
    <mergeCell ref="K130:P130"/>
    <mergeCell ref="E130:F130"/>
    <mergeCell ref="Q130:V130"/>
    <mergeCell ref="W130:X130"/>
    <mergeCell ref="W129:X129"/>
    <mergeCell ref="Q131:V131"/>
    <mergeCell ref="W131:X131"/>
    <mergeCell ref="Y128:AK128"/>
    <mergeCell ref="A128:F128"/>
    <mergeCell ref="G128:X128"/>
    <mergeCell ref="W126:X126"/>
    <mergeCell ref="AC126:AD126"/>
    <mergeCell ref="Y126:Z126"/>
    <mergeCell ref="AA126:AB126"/>
    <mergeCell ref="U126:V126"/>
    <mergeCell ref="AC125:AD125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M125:N125"/>
    <mergeCell ref="W125:X125"/>
    <mergeCell ref="Y125:Z125"/>
    <mergeCell ref="AA125:AB125"/>
    <mergeCell ref="W124:X124"/>
    <mergeCell ref="Y124:Z124"/>
    <mergeCell ref="AA124:AB124"/>
    <mergeCell ref="S124:T124"/>
    <mergeCell ref="U124:V124"/>
    <mergeCell ref="E125:F125"/>
    <mergeCell ref="G125:H125"/>
    <mergeCell ref="I125:J125"/>
    <mergeCell ref="K125:L125"/>
    <mergeCell ref="O125:P125"/>
    <mergeCell ref="Q125:R125"/>
    <mergeCell ref="S125:T125"/>
    <mergeCell ref="U125:V125"/>
    <mergeCell ref="AC124:AD124"/>
    <mergeCell ref="AC123:AD123"/>
    <mergeCell ref="E124:F124"/>
    <mergeCell ref="G124:H124"/>
    <mergeCell ref="I124:J124"/>
    <mergeCell ref="K124:L124"/>
    <mergeCell ref="M124:N124"/>
    <mergeCell ref="O124:P124"/>
    <mergeCell ref="Q124:R124"/>
    <mergeCell ref="M123:N123"/>
    <mergeCell ref="W123:X123"/>
    <mergeCell ref="Y123:Z123"/>
    <mergeCell ref="AA123:AB123"/>
    <mergeCell ref="W122:X122"/>
    <mergeCell ref="Y122:Z122"/>
    <mergeCell ref="AA122:AB122"/>
    <mergeCell ref="S122:T122"/>
    <mergeCell ref="U122:V122"/>
    <mergeCell ref="E123:F123"/>
    <mergeCell ref="G123:H123"/>
    <mergeCell ref="I123:J123"/>
    <mergeCell ref="K123:L123"/>
    <mergeCell ref="O123:P123"/>
    <mergeCell ref="Q123:R123"/>
    <mergeCell ref="S123:T123"/>
    <mergeCell ref="U123:V123"/>
    <mergeCell ref="AC122:AD122"/>
    <mergeCell ref="AC121:AD121"/>
    <mergeCell ref="E122:F122"/>
    <mergeCell ref="G122:H122"/>
    <mergeCell ref="I122:J122"/>
    <mergeCell ref="K122:L122"/>
    <mergeCell ref="M122:N122"/>
    <mergeCell ref="O122:P122"/>
    <mergeCell ref="Q122:R122"/>
    <mergeCell ref="M121:N121"/>
    <mergeCell ref="W121:X121"/>
    <mergeCell ref="Y121:Z121"/>
    <mergeCell ref="AA121:AB121"/>
    <mergeCell ref="W120:X120"/>
    <mergeCell ref="Y120:Z120"/>
    <mergeCell ref="AA120:AB120"/>
    <mergeCell ref="S120:T120"/>
    <mergeCell ref="U120:V120"/>
    <mergeCell ref="E121:F121"/>
    <mergeCell ref="G121:H121"/>
    <mergeCell ref="I121:J121"/>
    <mergeCell ref="K121:L121"/>
    <mergeCell ref="O121:P121"/>
    <mergeCell ref="Q121:R121"/>
    <mergeCell ref="S121:T121"/>
    <mergeCell ref="U121:V121"/>
    <mergeCell ref="AC120:AD120"/>
    <mergeCell ref="AC119:AD119"/>
    <mergeCell ref="E120:F120"/>
    <mergeCell ref="G120:H120"/>
    <mergeCell ref="I120:J120"/>
    <mergeCell ref="K120:L120"/>
    <mergeCell ref="M120:N120"/>
    <mergeCell ref="O120:P120"/>
    <mergeCell ref="Q120:R120"/>
    <mergeCell ref="M119:N119"/>
    <mergeCell ref="W119:X119"/>
    <mergeCell ref="Y119:Z119"/>
    <mergeCell ref="AA119:AB119"/>
    <mergeCell ref="W118:X118"/>
    <mergeCell ref="Y118:Z118"/>
    <mergeCell ref="AA118:AB118"/>
    <mergeCell ref="S118:T118"/>
    <mergeCell ref="U118:V118"/>
    <mergeCell ref="E119:F119"/>
    <mergeCell ref="G119:H119"/>
    <mergeCell ref="I119:J119"/>
    <mergeCell ref="K119:L119"/>
    <mergeCell ref="O119:P119"/>
    <mergeCell ref="Q119:R119"/>
    <mergeCell ref="S119:T119"/>
    <mergeCell ref="U119:V119"/>
    <mergeCell ref="AC118:AD118"/>
    <mergeCell ref="AC117:AD117"/>
    <mergeCell ref="E118:F118"/>
    <mergeCell ref="G118:H118"/>
    <mergeCell ref="I118:J118"/>
    <mergeCell ref="K118:L118"/>
    <mergeCell ref="M118:N118"/>
    <mergeCell ref="O118:P118"/>
    <mergeCell ref="Q118:R118"/>
    <mergeCell ref="M117:N117"/>
    <mergeCell ref="W117:X117"/>
    <mergeCell ref="Y117:Z117"/>
    <mergeCell ref="AA117:AB117"/>
    <mergeCell ref="W116:X116"/>
    <mergeCell ref="Y116:Z116"/>
    <mergeCell ref="AA116:AB116"/>
    <mergeCell ref="S116:T116"/>
    <mergeCell ref="U116:V116"/>
    <mergeCell ref="E117:F117"/>
    <mergeCell ref="G117:H117"/>
    <mergeCell ref="I117:J117"/>
    <mergeCell ref="K117:L117"/>
    <mergeCell ref="O117:P117"/>
    <mergeCell ref="Q117:R117"/>
    <mergeCell ref="S117:T117"/>
    <mergeCell ref="U117:V117"/>
    <mergeCell ref="AC116:AD116"/>
    <mergeCell ref="AC115:AD115"/>
    <mergeCell ref="E116:F116"/>
    <mergeCell ref="G116:H116"/>
    <mergeCell ref="I116:J116"/>
    <mergeCell ref="K116:L116"/>
    <mergeCell ref="M116:N116"/>
    <mergeCell ref="O116:P116"/>
    <mergeCell ref="Q116:R116"/>
    <mergeCell ref="M115:N115"/>
    <mergeCell ref="W115:X115"/>
    <mergeCell ref="Y115:Z115"/>
    <mergeCell ref="AA115:AB115"/>
    <mergeCell ref="W114:X114"/>
    <mergeCell ref="Y114:Z114"/>
    <mergeCell ref="AA114:AB114"/>
    <mergeCell ref="S114:T114"/>
    <mergeCell ref="U114:V114"/>
    <mergeCell ref="E115:F115"/>
    <mergeCell ref="G115:H115"/>
    <mergeCell ref="I115:J115"/>
    <mergeCell ref="K115:L115"/>
    <mergeCell ref="O115:P115"/>
    <mergeCell ref="Q115:R115"/>
    <mergeCell ref="S115:T115"/>
    <mergeCell ref="U115:V115"/>
    <mergeCell ref="AC114:AD114"/>
    <mergeCell ref="AC113:AD113"/>
    <mergeCell ref="E114:F114"/>
    <mergeCell ref="G114:H114"/>
    <mergeCell ref="I114:J114"/>
    <mergeCell ref="K114:L114"/>
    <mergeCell ref="M114:N114"/>
    <mergeCell ref="O114:P114"/>
    <mergeCell ref="Q114:R114"/>
    <mergeCell ref="M113:N113"/>
    <mergeCell ref="W113:X113"/>
    <mergeCell ref="Y113:Z113"/>
    <mergeCell ref="AA113:AB113"/>
    <mergeCell ref="W112:X112"/>
    <mergeCell ref="Y112:Z112"/>
    <mergeCell ref="AA112:AB112"/>
    <mergeCell ref="S112:T112"/>
    <mergeCell ref="U112:V112"/>
    <mergeCell ref="E113:F113"/>
    <mergeCell ref="G113:H113"/>
    <mergeCell ref="I113:J113"/>
    <mergeCell ref="K113:L113"/>
    <mergeCell ref="O113:P113"/>
    <mergeCell ref="Q113:R113"/>
    <mergeCell ref="S113:T113"/>
    <mergeCell ref="U113:V113"/>
    <mergeCell ref="AC112:AD112"/>
    <mergeCell ref="AC111:AD111"/>
    <mergeCell ref="E112:F112"/>
    <mergeCell ref="G112:H112"/>
    <mergeCell ref="I112:J112"/>
    <mergeCell ref="K112:L112"/>
    <mergeCell ref="M112:N112"/>
    <mergeCell ref="O112:P112"/>
    <mergeCell ref="Q112:R112"/>
    <mergeCell ref="AA111:AB111"/>
    <mergeCell ref="Y111:Z111"/>
    <mergeCell ref="M111:N111"/>
    <mergeCell ref="O111:P111"/>
    <mergeCell ref="Q111:R111"/>
    <mergeCell ref="S111:T111"/>
    <mergeCell ref="I111:J111"/>
    <mergeCell ref="K111:L111"/>
    <mergeCell ref="U111:V111"/>
    <mergeCell ref="W111:X111"/>
    <mergeCell ref="AJ109:AK110"/>
    <mergeCell ref="U109:V109"/>
    <mergeCell ref="W109:X109"/>
    <mergeCell ref="Y109:Z109"/>
    <mergeCell ref="AA109:AB109"/>
    <mergeCell ref="AE109:AE110"/>
    <mergeCell ref="AF109:AF110"/>
    <mergeCell ref="AG109:AG110"/>
    <mergeCell ref="AC109:AD109"/>
    <mergeCell ref="AC110:AD110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AA110:AB110"/>
    <mergeCell ref="D111:H111"/>
    <mergeCell ref="Y110:Z110"/>
    <mergeCell ref="Z107:AK107"/>
    <mergeCell ref="A108:B108"/>
    <mergeCell ref="C108:D108"/>
    <mergeCell ref="E108:G108"/>
    <mergeCell ref="H108:J108"/>
    <mergeCell ref="K108:P108"/>
    <mergeCell ref="Q108:S108"/>
    <mergeCell ref="T108:V108"/>
    <mergeCell ref="W108:AK108"/>
    <mergeCell ref="W107:Y107"/>
    <mergeCell ref="E103:F103"/>
    <mergeCell ref="G103:H103"/>
    <mergeCell ref="I103:J103"/>
    <mergeCell ref="A107:B107"/>
    <mergeCell ref="C107:D107"/>
    <mergeCell ref="E107:G107"/>
    <mergeCell ref="H107:V107"/>
    <mergeCell ref="K103:P103"/>
    <mergeCell ref="Q103:V103"/>
    <mergeCell ref="U110:V110"/>
    <mergeCell ref="W110:X110"/>
    <mergeCell ref="Q110:R110"/>
    <mergeCell ref="S110:T110"/>
    <mergeCell ref="E110:F110"/>
    <mergeCell ref="G110:H110"/>
    <mergeCell ref="I110:J110"/>
    <mergeCell ref="K110:L110"/>
    <mergeCell ref="M110:N110"/>
    <mergeCell ref="O110:P110"/>
    <mergeCell ref="AH109:AH110"/>
    <mergeCell ref="Y101:AK101"/>
    <mergeCell ref="E102:F102"/>
    <mergeCell ref="G102:H102"/>
    <mergeCell ref="I102:J102"/>
    <mergeCell ref="K102:P102"/>
    <mergeCell ref="Q102:V102"/>
    <mergeCell ref="W102:X102"/>
    <mergeCell ref="W103:X103"/>
    <mergeCell ref="Q101:V101"/>
    <mergeCell ref="W101:X101"/>
    <mergeCell ref="E100:F100"/>
    <mergeCell ref="G100:H100"/>
    <mergeCell ref="E101:F101"/>
    <mergeCell ref="G101:H101"/>
    <mergeCell ref="I101:J101"/>
    <mergeCell ref="K101:P101"/>
    <mergeCell ref="I100:J100"/>
    <mergeCell ref="Q98:V98"/>
    <mergeCell ref="W98:X98"/>
    <mergeCell ref="Q99:V99"/>
    <mergeCell ref="W99:X99"/>
    <mergeCell ref="Q100:V100"/>
    <mergeCell ref="W100:X100"/>
    <mergeCell ref="K99:P99"/>
    <mergeCell ref="E98:F98"/>
    <mergeCell ref="G98:H98"/>
    <mergeCell ref="I98:J98"/>
    <mergeCell ref="K98:P98"/>
    <mergeCell ref="K100:P100"/>
    <mergeCell ref="G96:H96"/>
    <mergeCell ref="E97:F97"/>
    <mergeCell ref="G97:H97"/>
    <mergeCell ref="E99:F99"/>
    <mergeCell ref="G99:H99"/>
    <mergeCell ref="I99:J99"/>
    <mergeCell ref="E95:F95"/>
    <mergeCell ref="G95:H95"/>
    <mergeCell ref="I95:J95"/>
    <mergeCell ref="K95:P95"/>
    <mergeCell ref="Q95:V95"/>
    <mergeCell ref="I97:J97"/>
    <mergeCell ref="K97:P97"/>
    <mergeCell ref="I96:J96"/>
    <mergeCell ref="K96:P96"/>
    <mergeCell ref="E96:F96"/>
    <mergeCell ref="Q96:V96"/>
    <mergeCell ref="W96:X96"/>
    <mergeCell ref="W95:X95"/>
    <mergeCell ref="Q97:V97"/>
    <mergeCell ref="W97:X97"/>
    <mergeCell ref="Y94:AK94"/>
    <mergeCell ref="A94:F94"/>
    <mergeCell ref="G94:X94"/>
    <mergeCell ref="W92:X92"/>
    <mergeCell ref="AC92:AD92"/>
    <mergeCell ref="Y92:Z92"/>
    <mergeCell ref="AA92:AB92"/>
    <mergeCell ref="U92:V92"/>
    <mergeCell ref="AC91:AD91"/>
    <mergeCell ref="E92:F92"/>
    <mergeCell ref="G92:H92"/>
    <mergeCell ref="I92:J92"/>
    <mergeCell ref="K92:L92"/>
    <mergeCell ref="M92:N92"/>
    <mergeCell ref="O92:P92"/>
    <mergeCell ref="Q92:R92"/>
    <mergeCell ref="S92:T92"/>
    <mergeCell ref="M91:N91"/>
    <mergeCell ref="W91:X91"/>
    <mergeCell ref="Y91:Z91"/>
    <mergeCell ref="AA91:AB91"/>
    <mergeCell ref="W90:X90"/>
    <mergeCell ref="Y90:Z90"/>
    <mergeCell ref="AA90:AB90"/>
    <mergeCell ref="S90:T90"/>
    <mergeCell ref="U90:V90"/>
    <mergeCell ref="E91:F91"/>
    <mergeCell ref="G91:H91"/>
    <mergeCell ref="I91:J91"/>
    <mergeCell ref="K91:L91"/>
    <mergeCell ref="O91:P91"/>
    <mergeCell ref="Q91:R91"/>
    <mergeCell ref="S91:T91"/>
    <mergeCell ref="U91:V91"/>
    <mergeCell ref="AC90:AD90"/>
    <mergeCell ref="AC89:AD89"/>
    <mergeCell ref="E90:F90"/>
    <mergeCell ref="G90:H90"/>
    <mergeCell ref="I90:J90"/>
    <mergeCell ref="K90:L90"/>
    <mergeCell ref="M90:N90"/>
    <mergeCell ref="O90:P90"/>
    <mergeCell ref="Q90:R90"/>
    <mergeCell ref="M89:N89"/>
    <mergeCell ref="W89:X89"/>
    <mergeCell ref="Y89:Z89"/>
    <mergeCell ref="AA89:AB89"/>
    <mergeCell ref="W88:X88"/>
    <mergeCell ref="Y88:Z88"/>
    <mergeCell ref="AA88:AB88"/>
    <mergeCell ref="S88:T88"/>
    <mergeCell ref="U88:V88"/>
    <mergeCell ref="E89:F89"/>
    <mergeCell ref="G89:H89"/>
    <mergeCell ref="I89:J89"/>
    <mergeCell ref="K89:L89"/>
    <mergeCell ref="O89:P89"/>
    <mergeCell ref="Q89:R89"/>
    <mergeCell ref="S89:T89"/>
    <mergeCell ref="U89:V89"/>
    <mergeCell ref="AC88:AD88"/>
    <mergeCell ref="AC87:AD87"/>
    <mergeCell ref="E88:F88"/>
    <mergeCell ref="G88:H88"/>
    <mergeCell ref="I88:J88"/>
    <mergeCell ref="K88:L88"/>
    <mergeCell ref="M88:N88"/>
    <mergeCell ref="O88:P88"/>
    <mergeCell ref="Q88:R88"/>
    <mergeCell ref="M87:N87"/>
    <mergeCell ref="W87:X87"/>
    <mergeCell ref="Y87:Z87"/>
    <mergeCell ref="AA87:AB87"/>
    <mergeCell ref="W86:X86"/>
    <mergeCell ref="Y86:Z86"/>
    <mergeCell ref="AA86:AB86"/>
    <mergeCell ref="S86:T86"/>
    <mergeCell ref="U86:V86"/>
    <mergeCell ref="E87:F87"/>
    <mergeCell ref="G87:H87"/>
    <mergeCell ref="I87:J87"/>
    <mergeCell ref="K87:L87"/>
    <mergeCell ref="O87:P87"/>
    <mergeCell ref="Q87:R87"/>
    <mergeCell ref="S87:T87"/>
    <mergeCell ref="U87:V87"/>
    <mergeCell ref="AC86:AD86"/>
    <mergeCell ref="AC85:AD85"/>
    <mergeCell ref="E86:F86"/>
    <mergeCell ref="G86:H86"/>
    <mergeCell ref="I86:J86"/>
    <mergeCell ref="K86:L86"/>
    <mergeCell ref="M86:N86"/>
    <mergeCell ref="O86:P86"/>
    <mergeCell ref="Q86:R86"/>
    <mergeCell ref="M85:N85"/>
    <mergeCell ref="W85:X85"/>
    <mergeCell ref="Y85:Z85"/>
    <mergeCell ref="AA85:AB85"/>
    <mergeCell ref="W84:X84"/>
    <mergeCell ref="Y84:Z84"/>
    <mergeCell ref="AA84:AB84"/>
    <mergeCell ref="S84:T84"/>
    <mergeCell ref="U84:V84"/>
    <mergeCell ref="E85:F85"/>
    <mergeCell ref="G85:H85"/>
    <mergeCell ref="I85:J85"/>
    <mergeCell ref="K85:L85"/>
    <mergeCell ref="O85:P85"/>
    <mergeCell ref="Q85:R85"/>
    <mergeCell ref="S85:T85"/>
    <mergeCell ref="U85:V85"/>
    <mergeCell ref="AC84:AD84"/>
    <mergeCell ref="AC83:AD83"/>
    <mergeCell ref="E84:F84"/>
    <mergeCell ref="G84:H84"/>
    <mergeCell ref="I84:J84"/>
    <mergeCell ref="K84:L84"/>
    <mergeCell ref="M84:N84"/>
    <mergeCell ref="O84:P84"/>
    <mergeCell ref="Q84:R84"/>
    <mergeCell ref="M83:N83"/>
    <mergeCell ref="W83:X83"/>
    <mergeCell ref="Y83:Z83"/>
    <mergeCell ref="AA83:AB83"/>
    <mergeCell ref="W82:X82"/>
    <mergeCell ref="Y82:Z82"/>
    <mergeCell ref="AA82:AB82"/>
    <mergeCell ref="S82:T82"/>
    <mergeCell ref="U82:V82"/>
    <mergeCell ref="E83:F83"/>
    <mergeCell ref="G83:H83"/>
    <mergeCell ref="I83:J83"/>
    <mergeCell ref="K83:L83"/>
    <mergeCell ref="O83:P83"/>
    <mergeCell ref="Q83:R83"/>
    <mergeCell ref="S83:T83"/>
    <mergeCell ref="U83:V83"/>
    <mergeCell ref="AC82:AD82"/>
    <mergeCell ref="AC81:AD81"/>
    <mergeCell ref="E82:F82"/>
    <mergeCell ref="G82:H82"/>
    <mergeCell ref="I82:J82"/>
    <mergeCell ref="K82:L82"/>
    <mergeCell ref="M82:N82"/>
    <mergeCell ref="O82:P82"/>
    <mergeCell ref="Q82:R82"/>
    <mergeCell ref="M81:N81"/>
    <mergeCell ref="W81:X81"/>
    <mergeCell ref="Y81:Z81"/>
    <mergeCell ref="AA81:AB81"/>
    <mergeCell ref="W80:X80"/>
    <mergeCell ref="Y80:Z80"/>
    <mergeCell ref="AA80:AB80"/>
    <mergeCell ref="S80:T80"/>
    <mergeCell ref="U80:V80"/>
    <mergeCell ref="E81:F81"/>
    <mergeCell ref="G81:H81"/>
    <mergeCell ref="I81:J81"/>
    <mergeCell ref="K81:L81"/>
    <mergeCell ref="O81:P81"/>
    <mergeCell ref="Q81:R81"/>
    <mergeCell ref="S81:T81"/>
    <mergeCell ref="U81:V81"/>
    <mergeCell ref="AC80:AD80"/>
    <mergeCell ref="AC79:AD79"/>
    <mergeCell ref="E80:F80"/>
    <mergeCell ref="G80:H80"/>
    <mergeCell ref="I80:J80"/>
    <mergeCell ref="K80:L80"/>
    <mergeCell ref="M80:N80"/>
    <mergeCell ref="O80:P80"/>
    <mergeCell ref="Q80:R80"/>
    <mergeCell ref="M79:N79"/>
    <mergeCell ref="W79:X79"/>
    <mergeCell ref="Y79:Z79"/>
    <mergeCell ref="AA79:AB79"/>
    <mergeCell ref="W78:X78"/>
    <mergeCell ref="Y78:Z78"/>
    <mergeCell ref="AA78:AB78"/>
    <mergeCell ref="S78:T78"/>
    <mergeCell ref="U78:V78"/>
    <mergeCell ref="E79:F79"/>
    <mergeCell ref="G79:H79"/>
    <mergeCell ref="I79:J79"/>
    <mergeCell ref="K79:L79"/>
    <mergeCell ref="O79:P79"/>
    <mergeCell ref="Q79:R79"/>
    <mergeCell ref="S79:T79"/>
    <mergeCell ref="U79:V79"/>
    <mergeCell ref="AC78:AD78"/>
    <mergeCell ref="AC77:AD77"/>
    <mergeCell ref="E78:F78"/>
    <mergeCell ref="G78:H78"/>
    <mergeCell ref="I78:J78"/>
    <mergeCell ref="K78:L78"/>
    <mergeCell ref="M78:N78"/>
    <mergeCell ref="O78:P78"/>
    <mergeCell ref="Q78:R78"/>
    <mergeCell ref="AA77:AB77"/>
    <mergeCell ref="Y77:Z77"/>
    <mergeCell ref="M77:N77"/>
    <mergeCell ref="O77:P77"/>
    <mergeCell ref="Q77:R77"/>
    <mergeCell ref="S77:T77"/>
    <mergeCell ref="I77:J77"/>
    <mergeCell ref="K77:L77"/>
    <mergeCell ref="U77:V77"/>
    <mergeCell ref="W77:X77"/>
    <mergeCell ref="AJ75:AK76"/>
    <mergeCell ref="U75:V75"/>
    <mergeCell ref="W75:X75"/>
    <mergeCell ref="Y75:Z75"/>
    <mergeCell ref="AA75:AB75"/>
    <mergeCell ref="AE75:AE76"/>
    <mergeCell ref="AF75:AF76"/>
    <mergeCell ref="AG75:AG76"/>
    <mergeCell ref="AC75:AD75"/>
    <mergeCell ref="AC76:AD76"/>
    <mergeCell ref="E75:F75"/>
    <mergeCell ref="G75:H75"/>
    <mergeCell ref="I75:J75"/>
    <mergeCell ref="K75:L75"/>
    <mergeCell ref="M75:N75"/>
    <mergeCell ref="O75:P75"/>
    <mergeCell ref="Q75:R75"/>
    <mergeCell ref="S75:T75"/>
    <mergeCell ref="AA76:AB76"/>
    <mergeCell ref="D77:H77"/>
    <mergeCell ref="Y76:Z76"/>
    <mergeCell ref="Z73:AK73"/>
    <mergeCell ref="A74:B74"/>
    <mergeCell ref="C74:D74"/>
    <mergeCell ref="E74:G74"/>
    <mergeCell ref="H74:J74"/>
    <mergeCell ref="K74:P74"/>
    <mergeCell ref="Q74:S74"/>
    <mergeCell ref="T74:V74"/>
    <mergeCell ref="W74:AK74"/>
    <mergeCell ref="W73:Y73"/>
    <mergeCell ref="E69:F69"/>
    <mergeCell ref="G69:H69"/>
    <mergeCell ref="I69:J69"/>
    <mergeCell ref="A73:B73"/>
    <mergeCell ref="C73:D73"/>
    <mergeCell ref="E73:G73"/>
    <mergeCell ref="H73:V73"/>
    <mergeCell ref="K69:P69"/>
    <mergeCell ref="Q69:V69"/>
    <mergeCell ref="U76:V76"/>
    <mergeCell ref="W76:X76"/>
    <mergeCell ref="Q76:R76"/>
    <mergeCell ref="S76:T76"/>
    <mergeCell ref="E76:F76"/>
    <mergeCell ref="G76:H76"/>
    <mergeCell ref="I76:J76"/>
    <mergeCell ref="K76:L76"/>
    <mergeCell ref="M76:N76"/>
    <mergeCell ref="O76:P76"/>
    <mergeCell ref="AH75:AH76"/>
    <mergeCell ref="Y67:AK67"/>
    <mergeCell ref="E68:F68"/>
    <mergeCell ref="G68:H68"/>
    <mergeCell ref="I68:J68"/>
    <mergeCell ref="K68:P68"/>
    <mergeCell ref="Q68:V68"/>
    <mergeCell ref="W68:X68"/>
    <mergeCell ref="W69:X69"/>
    <mergeCell ref="Q67:V67"/>
    <mergeCell ref="W67:X67"/>
    <mergeCell ref="E66:F66"/>
    <mergeCell ref="G66:H66"/>
    <mergeCell ref="E67:F67"/>
    <mergeCell ref="G67:H67"/>
    <mergeCell ref="I67:J67"/>
    <mergeCell ref="K67:P67"/>
    <mergeCell ref="I66:J66"/>
    <mergeCell ref="Q64:V64"/>
    <mergeCell ref="W64:X64"/>
    <mergeCell ref="Q65:V65"/>
    <mergeCell ref="W65:X65"/>
    <mergeCell ref="Q66:V66"/>
    <mergeCell ref="W66:X66"/>
    <mergeCell ref="K65:P65"/>
    <mergeCell ref="E64:F64"/>
    <mergeCell ref="G64:H64"/>
    <mergeCell ref="I64:J64"/>
    <mergeCell ref="K64:P64"/>
    <mergeCell ref="K66:P66"/>
    <mergeCell ref="G62:H62"/>
    <mergeCell ref="E63:F63"/>
    <mergeCell ref="G63:H63"/>
    <mergeCell ref="E65:F65"/>
    <mergeCell ref="G65:H65"/>
    <mergeCell ref="I65:J65"/>
    <mergeCell ref="E61:F61"/>
    <mergeCell ref="G61:H61"/>
    <mergeCell ref="I61:J61"/>
    <mergeCell ref="K61:P61"/>
    <mergeCell ref="Q61:V61"/>
    <mergeCell ref="I63:J63"/>
    <mergeCell ref="K63:P63"/>
    <mergeCell ref="I62:J62"/>
    <mergeCell ref="K62:P62"/>
    <mergeCell ref="E62:F62"/>
    <mergeCell ref="Q62:V62"/>
    <mergeCell ref="W62:X62"/>
    <mergeCell ref="W61:X61"/>
    <mergeCell ref="Q63:V63"/>
    <mergeCell ref="W63:X63"/>
    <mergeCell ref="Y60:AK60"/>
    <mergeCell ref="A60:F60"/>
    <mergeCell ref="G60:X60"/>
    <mergeCell ref="W58:X58"/>
    <mergeCell ref="AC58:AD58"/>
    <mergeCell ref="Y58:Z58"/>
    <mergeCell ref="AA58:AB58"/>
    <mergeCell ref="U58:V58"/>
    <mergeCell ref="E58:F58"/>
    <mergeCell ref="G58:H58"/>
    <mergeCell ref="I58:J58"/>
    <mergeCell ref="K58:L58"/>
    <mergeCell ref="M58:N58"/>
    <mergeCell ref="O58:P58"/>
    <mergeCell ref="Q58:R58"/>
    <mergeCell ref="S58:T58"/>
    <mergeCell ref="W57:X57"/>
    <mergeCell ref="Y57:Z57"/>
    <mergeCell ref="AA57:AB57"/>
    <mergeCell ref="S57:T57"/>
    <mergeCell ref="U57:V57"/>
    <mergeCell ref="AC57:AD57"/>
    <mergeCell ref="G51:H51"/>
    <mergeCell ref="E51:F51"/>
    <mergeCell ref="Q51:R51"/>
    <mergeCell ref="D54:H54"/>
    <mergeCell ref="W51:X51"/>
    <mergeCell ref="Y51:Z51"/>
    <mergeCell ref="AA51:AB51"/>
    <mergeCell ref="AC56:AD56"/>
    <mergeCell ref="I57:J57"/>
    <mergeCell ref="K57:L57"/>
    <mergeCell ref="M57:N57"/>
    <mergeCell ref="O57:P57"/>
    <mergeCell ref="Q57:R57"/>
    <mergeCell ref="M56:N56"/>
    <mergeCell ref="W56:X56"/>
    <mergeCell ref="Y56:Z56"/>
    <mergeCell ref="AA56:AB56"/>
    <mergeCell ref="D56:H56"/>
    <mergeCell ref="E57:F57"/>
    <mergeCell ref="G57:H57"/>
    <mergeCell ref="W55:X55"/>
    <mergeCell ref="Y55:Z55"/>
    <mergeCell ref="AA55:AB55"/>
    <mergeCell ref="S55:T55"/>
    <mergeCell ref="U55:V55"/>
    <mergeCell ref="I56:J56"/>
    <mergeCell ref="K56:L56"/>
    <mergeCell ref="O56:P56"/>
    <mergeCell ref="Q56:R56"/>
    <mergeCell ref="S56:T56"/>
    <mergeCell ref="U56:V56"/>
    <mergeCell ref="AC55:AD55"/>
    <mergeCell ref="W48:X48"/>
    <mergeCell ref="Y48:Z48"/>
    <mergeCell ref="AA48:AB48"/>
    <mergeCell ref="AC49:AD49"/>
    <mergeCell ref="M50:N50"/>
    <mergeCell ref="W50:X50"/>
    <mergeCell ref="Y50:Z50"/>
    <mergeCell ref="AA50:AB50"/>
    <mergeCell ref="W49:X49"/>
    <mergeCell ref="Y49:Z49"/>
    <mergeCell ref="D48:H48"/>
    <mergeCell ref="AC54:AD54"/>
    <mergeCell ref="E55:F55"/>
    <mergeCell ref="G55:H55"/>
    <mergeCell ref="I55:J55"/>
    <mergeCell ref="K55:L55"/>
    <mergeCell ref="M55:N55"/>
    <mergeCell ref="O55:P55"/>
    <mergeCell ref="Q55:R55"/>
    <mergeCell ref="M54:N54"/>
    <mergeCell ref="W54:X54"/>
    <mergeCell ref="Y54:Z54"/>
    <mergeCell ref="AA54:AB54"/>
    <mergeCell ref="S51:T51"/>
    <mergeCell ref="U51:V51"/>
    <mergeCell ref="I54:J54"/>
    <mergeCell ref="K54:L54"/>
    <mergeCell ref="O54:P54"/>
    <mergeCell ref="Q54:R54"/>
    <mergeCell ref="S54:T54"/>
    <mergeCell ref="U54:V54"/>
    <mergeCell ref="AC51:AD51"/>
    <mergeCell ref="I48:J48"/>
    <mergeCell ref="K48:L48"/>
    <mergeCell ref="O48:P48"/>
    <mergeCell ref="Q48:R48"/>
    <mergeCell ref="S48:T48"/>
    <mergeCell ref="U48:V48"/>
    <mergeCell ref="AC47:AD47"/>
    <mergeCell ref="AC50:AD50"/>
    <mergeCell ref="I51:J51"/>
    <mergeCell ref="K51:L51"/>
    <mergeCell ref="M51:N51"/>
    <mergeCell ref="O51:P51"/>
    <mergeCell ref="AA49:AB49"/>
    <mergeCell ref="S49:T49"/>
    <mergeCell ref="U49:V49"/>
    <mergeCell ref="E50:F50"/>
    <mergeCell ref="G50:H50"/>
    <mergeCell ref="I50:J50"/>
    <mergeCell ref="K50:L50"/>
    <mergeCell ref="O50:P50"/>
    <mergeCell ref="Q50:R50"/>
    <mergeCell ref="S50:T50"/>
    <mergeCell ref="U50:V50"/>
    <mergeCell ref="AC48:AD48"/>
    <mergeCell ref="E49:F49"/>
    <mergeCell ref="G49:H49"/>
    <mergeCell ref="I49:J49"/>
    <mergeCell ref="K49:L49"/>
    <mergeCell ref="M49:N49"/>
    <mergeCell ref="O49:P49"/>
    <mergeCell ref="Q49:R49"/>
    <mergeCell ref="M48:N48"/>
    <mergeCell ref="AC44:AD44"/>
    <mergeCell ref="E47:F47"/>
    <mergeCell ref="G47:H47"/>
    <mergeCell ref="I47:J47"/>
    <mergeCell ref="K47:L47"/>
    <mergeCell ref="M47:N47"/>
    <mergeCell ref="O47:P47"/>
    <mergeCell ref="Q47:R47"/>
    <mergeCell ref="M44:N44"/>
    <mergeCell ref="W44:X44"/>
    <mergeCell ref="Y44:Z44"/>
    <mergeCell ref="AA44:AB44"/>
    <mergeCell ref="D44:H44"/>
    <mergeCell ref="I44:J44"/>
    <mergeCell ref="K44:L44"/>
    <mergeCell ref="O44:P44"/>
    <mergeCell ref="Q44:R44"/>
    <mergeCell ref="S44:T44"/>
    <mergeCell ref="U44:V44"/>
    <mergeCell ref="W47:X47"/>
    <mergeCell ref="Y47:Z47"/>
    <mergeCell ref="AA47:AB47"/>
    <mergeCell ref="S47:T47"/>
    <mergeCell ref="U47:V47"/>
    <mergeCell ref="E46:F46"/>
    <mergeCell ref="G46:H46"/>
    <mergeCell ref="G45:H45"/>
    <mergeCell ref="E45:F45"/>
    <mergeCell ref="AC43:AD43"/>
    <mergeCell ref="M43:N43"/>
    <mergeCell ref="W43:X43"/>
    <mergeCell ref="Y43:Z43"/>
    <mergeCell ref="AA43:AB43"/>
    <mergeCell ref="W42:X42"/>
    <mergeCell ref="Y42:Z42"/>
    <mergeCell ref="AA42:AB42"/>
    <mergeCell ref="S42:T42"/>
    <mergeCell ref="U42:V42"/>
    <mergeCell ref="E43:F43"/>
    <mergeCell ref="G43:H43"/>
    <mergeCell ref="I43:J43"/>
    <mergeCell ref="K43:L43"/>
    <mergeCell ref="O43:P43"/>
    <mergeCell ref="Q43:R43"/>
    <mergeCell ref="S43:T43"/>
    <mergeCell ref="U43:V43"/>
    <mergeCell ref="AC42:AD42"/>
    <mergeCell ref="AC41:AD41"/>
    <mergeCell ref="E42:F42"/>
    <mergeCell ref="G42:H42"/>
    <mergeCell ref="I42:J42"/>
    <mergeCell ref="K42:L42"/>
    <mergeCell ref="M42:N42"/>
    <mergeCell ref="O42:P42"/>
    <mergeCell ref="Q42:R42"/>
    <mergeCell ref="AA41:AB41"/>
    <mergeCell ref="Y41:Z41"/>
    <mergeCell ref="M41:N41"/>
    <mergeCell ref="O41:P41"/>
    <mergeCell ref="Q41:R41"/>
    <mergeCell ref="S41:T41"/>
    <mergeCell ref="I41:J41"/>
    <mergeCell ref="K41:L41"/>
    <mergeCell ref="U41:V41"/>
    <mergeCell ref="W41:X41"/>
    <mergeCell ref="D41:H41"/>
    <mergeCell ref="AJ39:AK40"/>
    <mergeCell ref="U39:V39"/>
    <mergeCell ref="W39:X39"/>
    <mergeCell ref="Y39:Z39"/>
    <mergeCell ref="AA39:AB39"/>
    <mergeCell ref="AE39:AE40"/>
    <mergeCell ref="AF39:AF40"/>
    <mergeCell ref="AG39:AG40"/>
    <mergeCell ref="AC39:AD39"/>
    <mergeCell ref="AC40:AD40"/>
    <mergeCell ref="E39:F39"/>
    <mergeCell ref="G39:H39"/>
    <mergeCell ref="I39:J39"/>
    <mergeCell ref="K39:L39"/>
    <mergeCell ref="M39:N39"/>
    <mergeCell ref="O39:P39"/>
    <mergeCell ref="Q39:R39"/>
    <mergeCell ref="S39:T39"/>
    <mergeCell ref="AA40:AB40"/>
    <mergeCell ref="Y40:Z40"/>
    <mergeCell ref="U40:V40"/>
    <mergeCell ref="W40:X40"/>
    <mergeCell ref="Q40:R40"/>
    <mergeCell ref="S40:T40"/>
    <mergeCell ref="E40:F40"/>
    <mergeCell ref="G40:H40"/>
    <mergeCell ref="I40:J40"/>
    <mergeCell ref="K40:L40"/>
    <mergeCell ref="M40:N40"/>
    <mergeCell ref="O40:P40"/>
    <mergeCell ref="AH39:AH40"/>
    <mergeCell ref="Z37:AK37"/>
    <mergeCell ref="A38:B38"/>
    <mergeCell ref="C38:D38"/>
    <mergeCell ref="E38:G38"/>
    <mergeCell ref="H38:J38"/>
    <mergeCell ref="K38:P38"/>
    <mergeCell ref="Q38:S38"/>
    <mergeCell ref="T38:V38"/>
    <mergeCell ref="W38:AK38"/>
    <mergeCell ref="W37:Y37"/>
    <mergeCell ref="E32:F32"/>
    <mergeCell ref="G32:H32"/>
    <mergeCell ref="I32:J32"/>
    <mergeCell ref="A37:B37"/>
    <mergeCell ref="C37:D37"/>
    <mergeCell ref="E37:G37"/>
    <mergeCell ref="H37:V37"/>
    <mergeCell ref="K32:P32"/>
    <mergeCell ref="Q32:V32"/>
    <mergeCell ref="Y30:AK30"/>
    <mergeCell ref="E31:F31"/>
    <mergeCell ref="G31:H31"/>
    <mergeCell ref="I31:J31"/>
    <mergeCell ref="K31:P31"/>
    <mergeCell ref="Q31:V31"/>
    <mergeCell ref="W31:X31"/>
    <mergeCell ref="W32:X32"/>
    <mergeCell ref="Q30:V30"/>
    <mergeCell ref="W30:X30"/>
    <mergeCell ref="E29:F29"/>
    <mergeCell ref="G29:H29"/>
    <mergeCell ref="E30:F30"/>
    <mergeCell ref="G30:H30"/>
    <mergeCell ref="I30:J30"/>
    <mergeCell ref="K30:P30"/>
    <mergeCell ref="I29:J29"/>
    <mergeCell ref="Q27:V27"/>
    <mergeCell ref="W27:X27"/>
    <mergeCell ref="Q28:V28"/>
    <mergeCell ref="W28:X28"/>
    <mergeCell ref="Q29:V29"/>
    <mergeCell ref="W29:X29"/>
    <mergeCell ref="K28:P28"/>
    <mergeCell ref="E27:F27"/>
    <mergeCell ref="G27:H27"/>
    <mergeCell ref="I27:J27"/>
    <mergeCell ref="K27:P27"/>
    <mergeCell ref="K29:P29"/>
    <mergeCell ref="G25:H25"/>
    <mergeCell ref="E26:F26"/>
    <mergeCell ref="G26:H26"/>
    <mergeCell ref="E28:F28"/>
    <mergeCell ref="G28:H28"/>
    <mergeCell ref="I28:J28"/>
    <mergeCell ref="E24:F24"/>
    <mergeCell ref="G24:H24"/>
    <mergeCell ref="I24:J24"/>
    <mergeCell ref="K24:P24"/>
    <mergeCell ref="Q24:V24"/>
    <mergeCell ref="I26:J26"/>
    <mergeCell ref="K26:P26"/>
    <mergeCell ref="I25:J25"/>
    <mergeCell ref="K25:P25"/>
    <mergeCell ref="E25:F25"/>
    <mergeCell ref="Q25:V25"/>
    <mergeCell ref="W25:X25"/>
    <mergeCell ref="W24:X24"/>
    <mergeCell ref="Q26:V26"/>
    <mergeCell ref="W26:X26"/>
    <mergeCell ref="Y23:AK23"/>
    <mergeCell ref="A23:F23"/>
    <mergeCell ref="G23:X23"/>
    <mergeCell ref="W21:X21"/>
    <mergeCell ref="AC21:AD21"/>
    <mergeCell ref="Y21:Z21"/>
    <mergeCell ref="AA21:AB21"/>
    <mergeCell ref="U21:V21"/>
    <mergeCell ref="AC20:AD20"/>
    <mergeCell ref="E21:F21"/>
    <mergeCell ref="G21:H21"/>
    <mergeCell ref="I21:J21"/>
    <mergeCell ref="K21:L21"/>
    <mergeCell ref="M21:N21"/>
    <mergeCell ref="O21:P21"/>
    <mergeCell ref="Q21:R21"/>
    <mergeCell ref="S21:T21"/>
    <mergeCell ref="M20:N20"/>
    <mergeCell ref="W20:X20"/>
    <mergeCell ref="Y20:Z20"/>
    <mergeCell ref="AA20:AB20"/>
    <mergeCell ref="W19:X19"/>
    <mergeCell ref="Y19:Z19"/>
    <mergeCell ref="AA19:AB19"/>
    <mergeCell ref="S19:T19"/>
    <mergeCell ref="U19:V19"/>
    <mergeCell ref="E20:F20"/>
    <mergeCell ref="G20:H20"/>
    <mergeCell ref="I20:J20"/>
    <mergeCell ref="K20:L20"/>
    <mergeCell ref="O20:P20"/>
    <mergeCell ref="Q20:R20"/>
    <mergeCell ref="S20:T20"/>
    <mergeCell ref="U20:V20"/>
    <mergeCell ref="AC19:AD19"/>
    <mergeCell ref="AC18:AD18"/>
    <mergeCell ref="E19:F19"/>
    <mergeCell ref="G19:H19"/>
    <mergeCell ref="I19:J19"/>
    <mergeCell ref="K19:L19"/>
    <mergeCell ref="M19:N19"/>
    <mergeCell ref="O19:P19"/>
    <mergeCell ref="Q19:R19"/>
    <mergeCell ref="M18:N18"/>
    <mergeCell ref="W18:X18"/>
    <mergeCell ref="Y18:Z18"/>
    <mergeCell ref="AA18:AB18"/>
    <mergeCell ref="W17:X17"/>
    <mergeCell ref="Y17:Z17"/>
    <mergeCell ref="AA17:AB17"/>
    <mergeCell ref="S17:T17"/>
    <mergeCell ref="U17:V17"/>
    <mergeCell ref="I18:J18"/>
    <mergeCell ref="K18:L18"/>
    <mergeCell ref="O18:P18"/>
    <mergeCell ref="Q18:R18"/>
    <mergeCell ref="S18:T18"/>
    <mergeCell ref="U18:V18"/>
    <mergeCell ref="AC17:AD17"/>
    <mergeCell ref="AC16:AD16"/>
    <mergeCell ref="E17:F17"/>
    <mergeCell ref="G17:H17"/>
    <mergeCell ref="I17:J17"/>
    <mergeCell ref="K17:L17"/>
    <mergeCell ref="M17:N17"/>
    <mergeCell ref="O17:P17"/>
    <mergeCell ref="Q17:R17"/>
    <mergeCell ref="M16:N16"/>
    <mergeCell ref="W16:X16"/>
    <mergeCell ref="Y16:Z16"/>
    <mergeCell ref="AA16:AB16"/>
    <mergeCell ref="W15:X15"/>
    <mergeCell ref="Y15:Z15"/>
    <mergeCell ref="AA15:AB15"/>
    <mergeCell ref="S15:T15"/>
    <mergeCell ref="U15:V15"/>
    <mergeCell ref="E16:F16"/>
    <mergeCell ref="G16:H16"/>
    <mergeCell ref="I16:J16"/>
    <mergeCell ref="K16:L16"/>
    <mergeCell ref="O16:P16"/>
    <mergeCell ref="Q16:R16"/>
    <mergeCell ref="S16:T16"/>
    <mergeCell ref="U16:V16"/>
    <mergeCell ref="AC15:AD15"/>
    <mergeCell ref="AC14:AD14"/>
    <mergeCell ref="E15:F15"/>
    <mergeCell ref="G15:H15"/>
    <mergeCell ref="I15:J15"/>
    <mergeCell ref="K15:L15"/>
    <mergeCell ref="M15:N15"/>
    <mergeCell ref="O15:P15"/>
    <mergeCell ref="Q15:R15"/>
    <mergeCell ref="M14:N14"/>
    <mergeCell ref="W14:X14"/>
    <mergeCell ref="Y14:Z14"/>
    <mergeCell ref="AA14:AB14"/>
    <mergeCell ref="W13:X13"/>
    <mergeCell ref="Y13:Z13"/>
    <mergeCell ref="AA13:AB13"/>
    <mergeCell ref="S13:T13"/>
    <mergeCell ref="U13:V13"/>
    <mergeCell ref="E14:F14"/>
    <mergeCell ref="G14:H14"/>
    <mergeCell ref="I14:J14"/>
    <mergeCell ref="K14:L14"/>
    <mergeCell ref="O14:P14"/>
    <mergeCell ref="Q14:R14"/>
    <mergeCell ref="S14:T14"/>
    <mergeCell ref="U14:V14"/>
    <mergeCell ref="AC13:AD13"/>
    <mergeCell ref="AC12:AD12"/>
    <mergeCell ref="E13:F13"/>
    <mergeCell ref="G13:H13"/>
    <mergeCell ref="I13:J13"/>
    <mergeCell ref="K13:L13"/>
    <mergeCell ref="M13:N13"/>
    <mergeCell ref="O13:P13"/>
    <mergeCell ref="Q13:R13"/>
    <mergeCell ref="M12:N12"/>
    <mergeCell ref="W12:X12"/>
    <mergeCell ref="Y12:Z12"/>
    <mergeCell ref="AA12:AB12"/>
    <mergeCell ref="W11:X11"/>
    <mergeCell ref="Y11:Z11"/>
    <mergeCell ref="AA11:AB11"/>
    <mergeCell ref="S11:T11"/>
    <mergeCell ref="U11:V11"/>
    <mergeCell ref="E12:F12"/>
    <mergeCell ref="G12:H12"/>
    <mergeCell ref="I12:J12"/>
    <mergeCell ref="K12:L12"/>
    <mergeCell ref="O12:P12"/>
    <mergeCell ref="Q12:R12"/>
    <mergeCell ref="S12:T12"/>
    <mergeCell ref="U12:V12"/>
    <mergeCell ref="AC11:AD11"/>
    <mergeCell ref="AC10:AD10"/>
    <mergeCell ref="E11:F11"/>
    <mergeCell ref="G11:H11"/>
    <mergeCell ref="I11:J11"/>
    <mergeCell ref="K11:L11"/>
    <mergeCell ref="M11:N11"/>
    <mergeCell ref="O11:P11"/>
    <mergeCell ref="Q11:R11"/>
    <mergeCell ref="M10:N10"/>
    <mergeCell ref="W10:X10"/>
    <mergeCell ref="Y10:Z10"/>
    <mergeCell ref="AA10:AB10"/>
    <mergeCell ref="W9:X9"/>
    <mergeCell ref="Y9:Z9"/>
    <mergeCell ref="AA9:AB9"/>
    <mergeCell ref="S9:T9"/>
    <mergeCell ref="U9:V9"/>
    <mergeCell ref="E10:F10"/>
    <mergeCell ref="G10:H10"/>
    <mergeCell ref="I10:J10"/>
    <mergeCell ref="K10:L10"/>
    <mergeCell ref="O10:P10"/>
    <mergeCell ref="Q10:R10"/>
    <mergeCell ref="S10:T10"/>
    <mergeCell ref="U10:V10"/>
    <mergeCell ref="AC9:AD9"/>
    <mergeCell ref="AC8:AD8"/>
    <mergeCell ref="E9:F9"/>
    <mergeCell ref="G9:H9"/>
    <mergeCell ref="I9:J9"/>
    <mergeCell ref="K9:L9"/>
    <mergeCell ref="M9:N9"/>
    <mergeCell ref="O9:P9"/>
    <mergeCell ref="Q9:R9"/>
    <mergeCell ref="M8:N8"/>
    <mergeCell ref="Y8:Z8"/>
    <mergeCell ref="AA8:AB8"/>
    <mergeCell ref="I6:J6"/>
    <mergeCell ref="K6:L6"/>
    <mergeCell ref="W5:X5"/>
    <mergeCell ref="Q5:R5"/>
    <mergeCell ref="S5:T5"/>
    <mergeCell ref="U6:V6"/>
    <mergeCell ref="W6:X6"/>
    <mergeCell ref="W7:X7"/>
    <mergeCell ref="Y7:Z7"/>
    <mergeCell ref="AA7:AB7"/>
    <mergeCell ref="O8:P8"/>
    <mergeCell ref="Q8:R8"/>
    <mergeCell ref="S8:T8"/>
    <mergeCell ref="U8:V8"/>
    <mergeCell ref="U7:V7"/>
    <mergeCell ref="E8:F8"/>
    <mergeCell ref="G8:H8"/>
    <mergeCell ref="I8:J8"/>
    <mergeCell ref="K8:L8"/>
    <mergeCell ref="W8:X8"/>
    <mergeCell ref="E7:F7"/>
    <mergeCell ref="G7:H7"/>
    <mergeCell ref="I7:J7"/>
    <mergeCell ref="K7:L7"/>
    <mergeCell ref="M7:N7"/>
    <mergeCell ref="O7:P7"/>
    <mergeCell ref="D6:H6"/>
    <mergeCell ref="O4:P4"/>
    <mergeCell ref="Q4:R4"/>
    <mergeCell ref="AH4:AH5"/>
    <mergeCell ref="AG4:AG5"/>
    <mergeCell ref="AA4:AB4"/>
    <mergeCell ref="Y5:Z5"/>
    <mergeCell ref="AE4:AE5"/>
    <mergeCell ref="AC5:AD5"/>
    <mergeCell ref="AA5:AB5"/>
    <mergeCell ref="AC4:AD4"/>
    <mergeCell ref="AA6:AB6"/>
    <mergeCell ref="M6:N6"/>
    <mergeCell ref="O6:P6"/>
    <mergeCell ref="Q6:R6"/>
    <mergeCell ref="S6:T6"/>
    <mergeCell ref="AC7:AD7"/>
    <mergeCell ref="AC6:AD6"/>
    <mergeCell ref="Q7:R7"/>
    <mergeCell ref="Y6:Z6"/>
    <mergeCell ref="S7:T7"/>
    <mergeCell ref="E3:G3"/>
    <mergeCell ref="H3:J3"/>
    <mergeCell ref="K3:P3"/>
    <mergeCell ref="Q3:S3"/>
    <mergeCell ref="T3:V3"/>
    <mergeCell ref="AF4:AF5"/>
    <mergeCell ref="G4:H4"/>
    <mergeCell ref="I4:J4"/>
    <mergeCell ref="K4:L4"/>
    <mergeCell ref="U4:V4"/>
    <mergeCell ref="W3:AK3"/>
    <mergeCell ref="A2:B2"/>
    <mergeCell ref="C2:D2"/>
    <mergeCell ref="E2:G2"/>
    <mergeCell ref="H2:V2"/>
    <mergeCell ref="S4:T4"/>
    <mergeCell ref="W2:Y2"/>
    <mergeCell ref="Z2:AK2"/>
    <mergeCell ref="A3:B3"/>
    <mergeCell ref="C3:D3"/>
    <mergeCell ref="AJ4:AK5"/>
    <mergeCell ref="E5:F5"/>
    <mergeCell ref="G5:H5"/>
    <mergeCell ref="I5:J5"/>
    <mergeCell ref="K5:L5"/>
    <mergeCell ref="M5:N5"/>
    <mergeCell ref="O5:P5"/>
    <mergeCell ref="E4:F4"/>
    <mergeCell ref="U5:V5"/>
    <mergeCell ref="W4:X4"/>
    <mergeCell ref="Y4:Z4"/>
    <mergeCell ref="M4:N4"/>
    <mergeCell ref="A176:B176"/>
    <mergeCell ref="C176:D176"/>
    <mergeCell ref="E176:G176"/>
    <mergeCell ref="H176:V176"/>
    <mergeCell ref="W176:Y176"/>
    <mergeCell ref="Z176:AK176"/>
    <mergeCell ref="A177:B177"/>
    <mergeCell ref="C177:D177"/>
    <mergeCell ref="E177:G177"/>
    <mergeCell ref="H177:J177"/>
    <mergeCell ref="K177:P177"/>
    <mergeCell ref="Q177:S177"/>
    <mergeCell ref="T177:V177"/>
    <mergeCell ref="W177:AK177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AA178:AB178"/>
    <mergeCell ref="AC178:AD178"/>
    <mergeCell ref="AE178:AE179"/>
    <mergeCell ref="AF178:AF179"/>
    <mergeCell ref="AG178:AG179"/>
    <mergeCell ref="AH178:AH179"/>
    <mergeCell ref="AJ178:AK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  <mergeCell ref="AA179:AB179"/>
    <mergeCell ref="AC179:AD179"/>
    <mergeCell ref="D180:H180"/>
    <mergeCell ref="I180:J180"/>
    <mergeCell ref="K180:L180"/>
    <mergeCell ref="M180:N180"/>
    <mergeCell ref="O180:P180"/>
    <mergeCell ref="Q180:R180"/>
    <mergeCell ref="S180:T180"/>
    <mergeCell ref="U180:V180"/>
    <mergeCell ref="W180:X180"/>
    <mergeCell ref="Y180:Z180"/>
    <mergeCell ref="AA180:AB180"/>
    <mergeCell ref="AC180:AD180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AA181:AB181"/>
    <mergeCell ref="AC181:AD181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AA182:AB182"/>
    <mergeCell ref="AC182:AD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  <mergeCell ref="AA183:AB183"/>
    <mergeCell ref="AC183:AD183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W184:X184"/>
    <mergeCell ref="Y184:Z184"/>
    <mergeCell ref="AA184:AB184"/>
    <mergeCell ref="AC184:AD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Y185:Z185"/>
    <mergeCell ref="AA185:AB185"/>
    <mergeCell ref="AC185:AD185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  <mergeCell ref="AA186:AB186"/>
    <mergeCell ref="AC186:AD186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U187:V187"/>
    <mergeCell ref="W187:X187"/>
    <mergeCell ref="Y187:Z187"/>
    <mergeCell ref="AA187:AB187"/>
    <mergeCell ref="AC187:AD187"/>
    <mergeCell ref="E188:F188"/>
    <mergeCell ref="G188:H188"/>
    <mergeCell ref="I188:J188"/>
    <mergeCell ref="K188:L188"/>
    <mergeCell ref="M188:N188"/>
    <mergeCell ref="O188:P188"/>
    <mergeCell ref="Q188:R188"/>
    <mergeCell ref="S188:T188"/>
    <mergeCell ref="U188:V188"/>
    <mergeCell ref="W188:X188"/>
    <mergeCell ref="Y188:Z188"/>
    <mergeCell ref="AA188:AB188"/>
    <mergeCell ref="AC188:AD188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AA189:AB189"/>
    <mergeCell ref="AC189:AD189"/>
    <mergeCell ref="E190:F190"/>
    <mergeCell ref="G190:H190"/>
    <mergeCell ref="I190:J190"/>
    <mergeCell ref="K190:L190"/>
    <mergeCell ref="M190:N190"/>
    <mergeCell ref="O190:P190"/>
    <mergeCell ref="Q190:R190"/>
    <mergeCell ref="S190:T190"/>
    <mergeCell ref="U190:V190"/>
    <mergeCell ref="W190:X190"/>
    <mergeCell ref="Y190:Z190"/>
    <mergeCell ref="AA190:AB190"/>
    <mergeCell ref="AC190:AD190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Y191:Z191"/>
    <mergeCell ref="AA191:AB191"/>
    <mergeCell ref="AC191:AD191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U192:V192"/>
    <mergeCell ref="W192:X192"/>
    <mergeCell ref="Y192:Z192"/>
    <mergeCell ref="AA192:AB192"/>
    <mergeCell ref="AC192:AD192"/>
    <mergeCell ref="Y194:AK194"/>
    <mergeCell ref="E195:F195"/>
    <mergeCell ref="G195:H195"/>
    <mergeCell ref="I195:J195"/>
    <mergeCell ref="K195:P195"/>
    <mergeCell ref="Q195:V195"/>
    <mergeCell ref="W195:X195"/>
    <mergeCell ref="K201:P201"/>
    <mergeCell ref="Q201:V201"/>
    <mergeCell ref="W201:X201"/>
    <mergeCell ref="E196:F196"/>
    <mergeCell ref="G196:H196"/>
    <mergeCell ref="I196:J196"/>
    <mergeCell ref="K196:P196"/>
    <mergeCell ref="Q196:V196"/>
    <mergeCell ref="W196:X196"/>
    <mergeCell ref="E197:F197"/>
    <mergeCell ref="G197:H197"/>
    <mergeCell ref="I197:J197"/>
    <mergeCell ref="K197:P197"/>
    <mergeCell ref="Q197:V197"/>
    <mergeCell ref="W197:X197"/>
    <mergeCell ref="E198:F198"/>
    <mergeCell ref="G198:H198"/>
    <mergeCell ref="I198:J198"/>
    <mergeCell ref="K198:P198"/>
    <mergeCell ref="Q198:V198"/>
    <mergeCell ref="W198:X198"/>
    <mergeCell ref="Y201:AK201"/>
    <mergeCell ref="E202:F202"/>
    <mergeCell ref="G202:H202"/>
    <mergeCell ref="I202:J202"/>
    <mergeCell ref="K202:P202"/>
    <mergeCell ref="Q202:V202"/>
    <mergeCell ref="W202:X202"/>
    <mergeCell ref="E203:F203"/>
    <mergeCell ref="G203:H203"/>
    <mergeCell ref="I203:J203"/>
    <mergeCell ref="K203:P203"/>
    <mergeCell ref="Q203:V203"/>
    <mergeCell ref="W203:X203"/>
    <mergeCell ref="E18:F18"/>
    <mergeCell ref="G18:H18"/>
    <mergeCell ref="E199:F199"/>
    <mergeCell ref="G199:H199"/>
    <mergeCell ref="I199:J199"/>
    <mergeCell ref="K199:P199"/>
    <mergeCell ref="Q199:V199"/>
    <mergeCell ref="W199:X199"/>
    <mergeCell ref="E200:F200"/>
    <mergeCell ref="G200:H200"/>
    <mergeCell ref="I200:J200"/>
    <mergeCell ref="K200:P200"/>
    <mergeCell ref="Q200:V200"/>
    <mergeCell ref="W200:X200"/>
    <mergeCell ref="E201:F201"/>
    <mergeCell ref="G201:H201"/>
    <mergeCell ref="I201:J201"/>
    <mergeCell ref="A194:F194"/>
    <mergeCell ref="G194:X194"/>
    <mergeCell ref="E191:F191"/>
    <mergeCell ref="A211:B211"/>
    <mergeCell ref="C211:D211"/>
    <mergeCell ref="E211:G211"/>
    <mergeCell ref="H211:V211"/>
    <mergeCell ref="W211:Y211"/>
    <mergeCell ref="Z211:AK211"/>
    <mergeCell ref="A212:B212"/>
    <mergeCell ref="C212:D212"/>
    <mergeCell ref="E212:G212"/>
    <mergeCell ref="H212:J212"/>
    <mergeCell ref="K212:P212"/>
    <mergeCell ref="Q212:S212"/>
    <mergeCell ref="T212:V212"/>
    <mergeCell ref="W212:AK212"/>
    <mergeCell ref="E213:F213"/>
    <mergeCell ref="G213:H213"/>
    <mergeCell ref="I213:J213"/>
    <mergeCell ref="K213:L213"/>
    <mergeCell ref="M213:N213"/>
    <mergeCell ref="O213:P213"/>
    <mergeCell ref="Q213:R213"/>
    <mergeCell ref="S213:T213"/>
    <mergeCell ref="U213:V213"/>
    <mergeCell ref="W213:X213"/>
    <mergeCell ref="Y213:Z213"/>
    <mergeCell ref="AA213:AB213"/>
    <mergeCell ref="AC213:AD213"/>
    <mergeCell ref="AE213:AE214"/>
    <mergeCell ref="AF213:AF214"/>
    <mergeCell ref="AG213:AG214"/>
    <mergeCell ref="AH213:AH214"/>
    <mergeCell ref="AJ213:AK214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AC214:AD214"/>
    <mergeCell ref="D215:H215"/>
    <mergeCell ref="I215:J215"/>
    <mergeCell ref="K215:L215"/>
    <mergeCell ref="M215:N215"/>
    <mergeCell ref="O215:P215"/>
    <mergeCell ref="Q215:R215"/>
    <mergeCell ref="S215:T215"/>
    <mergeCell ref="U215:V215"/>
    <mergeCell ref="W215:X215"/>
    <mergeCell ref="Y215:Z215"/>
    <mergeCell ref="AA215:AB215"/>
    <mergeCell ref="AC215:AD215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U216:V216"/>
    <mergeCell ref="W216:X216"/>
    <mergeCell ref="Y216:Z216"/>
    <mergeCell ref="AA216:AB216"/>
    <mergeCell ref="AC216:AD216"/>
    <mergeCell ref="E217:F217"/>
    <mergeCell ref="G217:H217"/>
    <mergeCell ref="I217:J217"/>
    <mergeCell ref="K217:L217"/>
    <mergeCell ref="M217:N217"/>
    <mergeCell ref="O217:P217"/>
    <mergeCell ref="Q217:R217"/>
    <mergeCell ref="S217:T217"/>
    <mergeCell ref="U217:V217"/>
    <mergeCell ref="W217:X217"/>
    <mergeCell ref="Y217:Z217"/>
    <mergeCell ref="AA217:AB217"/>
    <mergeCell ref="AC217:AD217"/>
    <mergeCell ref="E218:F218"/>
    <mergeCell ref="G218:H218"/>
    <mergeCell ref="I218:J218"/>
    <mergeCell ref="K218:L218"/>
    <mergeCell ref="M218:N218"/>
    <mergeCell ref="O218:P218"/>
    <mergeCell ref="Q218:R218"/>
    <mergeCell ref="S218:T218"/>
    <mergeCell ref="U218:V218"/>
    <mergeCell ref="W218:X218"/>
    <mergeCell ref="Y218:Z218"/>
    <mergeCell ref="AA218:AB218"/>
    <mergeCell ref="AC218:AD218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U219:V219"/>
    <mergeCell ref="W219:X219"/>
    <mergeCell ref="Y219:Z219"/>
    <mergeCell ref="AA219:AB219"/>
    <mergeCell ref="AC219:AD219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AC220:AD220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U221:V221"/>
    <mergeCell ref="W221:X221"/>
    <mergeCell ref="Y221:Z221"/>
    <mergeCell ref="AA221:AB221"/>
    <mergeCell ref="AC221:AD221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W222:X222"/>
    <mergeCell ref="Y222:Z222"/>
    <mergeCell ref="AA222:AB222"/>
    <mergeCell ref="AC222:AD222"/>
    <mergeCell ref="E223:F223"/>
    <mergeCell ref="G223:H223"/>
    <mergeCell ref="I223:J223"/>
    <mergeCell ref="K223:L223"/>
    <mergeCell ref="M223:N223"/>
    <mergeCell ref="O223:P223"/>
    <mergeCell ref="Q223:R223"/>
    <mergeCell ref="S223:T223"/>
    <mergeCell ref="U223:V223"/>
    <mergeCell ref="W223:X223"/>
    <mergeCell ref="Y223:Z223"/>
    <mergeCell ref="AA223:AB223"/>
    <mergeCell ref="AC223:AD223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U224:V224"/>
    <mergeCell ref="W224:X224"/>
    <mergeCell ref="Y224:Z224"/>
    <mergeCell ref="AA224:AB224"/>
    <mergeCell ref="AC224:AD224"/>
    <mergeCell ref="E225:F225"/>
    <mergeCell ref="G225:H225"/>
    <mergeCell ref="I225:J225"/>
    <mergeCell ref="K225:L225"/>
    <mergeCell ref="M225:N225"/>
    <mergeCell ref="O225:P225"/>
    <mergeCell ref="Q225:R225"/>
    <mergeCell ref="S225:T225"/>
    <mergeCell ref="U225:V225"/>
    <mergeCell ref="W225:X225"/>
    <mergeCell ref="Y225:Z225"/>
    <mergeCell ref="AA225:AB225"/>
    <mergeCell ref="AC225:AD225"/>
    <mergeCell ref="E231:F231"/>
    <mergeCell ref="G231:H231"/>
    <mergeCell ref="I231:J231"/>
    <mergeCell ref="K231:P231"/>
    <mergeCell ref="Q231:V231"/>
    <mergeCell ref="W231:X231"/>
    <mergeCell ref="AA226:AB226"/>
    <mergeCell ref="AC226:AD226"/>
    <mergeCell ref="E227:F227"/>
    <mergeCell ref="G227:H227"/>
    <mergeCell ref="I227:J227"/>
    <mergeCell ref="K227:L227"/>
    <mergeCell ref="M227:N227"/>
    <mergeCell ref="O227:P227"/>
    <mergeCell ref="Q227:R227"/>
    <mergeCell ref="S227:T227"/>
    <mergeCell ref="U227:V227"/>
    <mergeCell ref="W227:X227"/>
    <mergeCell ref="Y227:Z227"/>
    <mergeCell ref="AA227:AB227"/>
    <mergeCell ref="AC227:AD227"/>
    <mergeCell ref="E226:F226"/>
    <mergeCell ref="G226:H226"/>
    <mergeCell ref="I226:J226"/>
    <mergeCell ref="K226:L226"/>
    <mergeCell ref="M226:N226"/>
    <mergeCell ref="O226:P226"/>
    <mergeCell ref="Q226:R226"/>
    <mergeCell ref="S226:T226"/>
    <mergeCell ref="U226:V226"/>
    <mergeCell ref="W226:X226"/>
    <mergeCell ref="Y226:Z226"/>
    <mergeCell ref="A229:F229"/>
    <mergeCell ref="G229:X229"/>
    <mergeCell ref="Y229:AK229"/>
    <mergeCell ref="E230:F230"/>
    <mergeCell ref="G230:H230"/>
    <mergeCell ref="I230:J230"/>
    <mergeCell ref="K230:P230"/>
    <mergeCell ref="Q230:V230"/>
    <mergeCell ref="W230:X230"/>
    <mergeCell ref="E238:F238"/>
    <mergeCell ref="G238:H238"/>
    <mergeCell ref="I238:J238"/>
    <mergeCell ref="K238:P238"/>
    <mergeCell ref="Q238:V238"/>
    <mergeCell ref="W238:X238"/>
    <mergeCell ref="E234:F234"/>
    <mergeCell ref="G234:H234"/>
    <mergeCell ref="I234:J234"/>
    <mergeCell ref="K234:P234"/>
    <mergeCell ref="Q234:V234"/>
    <mergeCell ref="W234:X234"/>
    <mergeCell ref="E235:F235"/>
    <mergeCell ref="G235:H235"/>
    <mergeCell ref="I235:J235"/>
    <mergeCell ref="K235:P235"/>
    <mergeCell ref="Q235:V235"/>
    <mergeCell ref="W235:X235"/>
    <mergeCell ref="E236:F236"/>
    <mergeCell ref="G236:H236"/>
    <mergeCell ref="I236:J236"/>
    <mergeCell ref="K236:P236"/>
    <mergeCell ref="Q236:V236"/>
    <mergeCell ref="W236:X236"/>
    <mergeCell ref="E232:F232"/>
    <mergeCell ref="G232:H232"/>
    <mergeCell ref="I232:J232"/>
    <mergeCell ref="K232:P232"/>
    <mergeCell ref="Q232:V232"/>
    <mergeCell ref="W232:X232"/>
    <mergeCell ref="Y236:AK236"/>
    <mergeCell ref="E237:F237"/>
    <mergeCell ref="G237:H237"/>
    <mergeCell ref="I237:J237"/>
    <mergeCell ref="K237:P237"/>
    <mergeCell ref="Q237:V237"/>
    <mergeCell ref="W237:X237"/>
    <mergeCell ref="E233:F233"/>
    <mergeCell ref="G233:H233"/>
    <mergeCell ref="I233:J233"/>
    <mergeCell ref="K233:P233"/>
    <mergeCell ref="Q233:V233"/>
    <mergeCell ref="W233:X233"/>
  </mergeCells>
  <printOptions/>
  <pageMargins left="0.15748031496062992" right="0.15748031496062992" top="0.5511811023622047" bottom="0.35433070866141736" header="0.31496062992125984" footer="0.31496062992125984"/>
  <pageSetup horizontalDpi="600" verticalDpi="600" orientation="landscape" paperSize="9" r:id="rId1"/>
  <rowBreaks count="3" manualBreakCount="3">
    <brk id="71" max="255" man="1"/>
    <brk id="105" max="255" man="1"/>
    <brk id="13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P37" sqref="P37"/>
    </sheetView>
  </sheetViews>
  <sheetFormatPr defaultColWidth="9.140625" defaultRowHeight="12.75"/>
  <cols>
    <col min="2" max="2" width="10.140625" style="0" bestFit="1" customWidth="1"/>
  </cols>
  <sheetData>
    <row r="1" spans="1:5" ht="12.75">
      <c r="A1" s="128"/>
      <c r="B1" s="129" t="s">
        <v>210</v>
      </c>
      <c r="C1" s="130"/>
      <c r="D1" s="131"/>
      <c r="E1" s="132"/>
    </row>
    <row r="2" spans="1:5" ht="12.75">
      <c r="A2" s="128"/>
      <c r="B2" s="129"/>
      <c r="C2" s="130"/>
      <c r="D2" s="131"/>
      <c r="E2" s="132"/>
    </row>
    <row r="3" spans="1:5" ht="12.75">
      <c r="A3" s="133" t="s">
        <v>0</v>
      </c>
      <c r="B3" s="134" t="s">
        <v>1</v>
      </c>
      <c r="C3" s="135" t="s">
        <v>2</v>
      </c>
      <c r="D3" s="130" t="s">
        <v>3</v>
      </c>
      <c r="E3" s="136" t="s">
        <v>4</v>
      </c>
    </row>
    <row r="4" spans="1:5" ht="12.75">
      <c r="A4" s="137">
        <v>1</v>
      </c>
      <c r="B4" s="138"/>
      <c r="C4" s="139"/>
      <c r="D4" s="139"/>
      <c r="E4" s="140"/>
    </row>
    <row r="5" spans="1:5" ht="12.75">
      <c r="A5" s="137">
        <v>2</v>
      </c>
      <c r="B5" s="141"/>
      <c r="C5" s="139"/>
      <c r="D5" s="139"/>
      <c r="E5" s="140"/>
    </row>
    <row r="6" spans="1:5" ht="12.75">
      <c r="A6" s="137">
        <v>3</v>
      </c>
      <c r="B6" s="138"/>
      <c r="C6" s="139"/>
      <c r="D6" s="139"/>
      <c r="E6" s="142"/>
    </row>
    <row r="7" spans="1:5" ht="12.75">
      <c r="A7" s="137">
        <v>4</v>
      </c>
      <c r="B7" s="138"/>
      <c r="C7" s="139"/>
      <c r="D7" s="139"/>
      <c r="E7" s="142"/>
    </row>
    <row r="8" spans="1:5" ht="12.75">
      <c r="A8" s="137">
        <v>5</v>
      </c>
      <c r="B8" s="138"/>
      <c r="C8" s="139"/>
      <c r="D8" s="139"/>
      <c r="E8" s="142"/>
    </row>
    <row r="9" spans="1:5" ht="12.75">
      <c r="A9" s="137">
        <v>6</v>
      </c>
      <c r="B9" s="138"/>
      <c r="C9" s="139"/>
      <c r="D9" s="139"/>
      <c r="E9" s="142"/>
    </row>
    <row r="10" spans="1:5" ht="12.75">
      <c r="A10" s="137">
        <v>7</v>
      </c>
      <c r="B10" s="138"/>
      <c r="C10" s="139"/>
      <c r="D10" s="139"/>
      <c r="E10" s="142"/>
    </row>
    <row r="11" spans="1:5" ht="12.75">
      <c r="A11" s="137">
        <v>8</v>
      </c>
      <c r="B11" s="138"/>
      <c r="C11" s="139"/>
      <c r="D11" s="139"/>
      <c r="E11" s="142"/>
    </row>
    <row r="15" spans="1:2" ht="12.75">
      <c r="A15" t="s">
        <v>211</v>
      </c>
      <c r="B15" s="42" t="s">
        <v>352</v>
      </c>
    </row>
    <row r="16" spans="1:2" ht="12.75">
      <c r="A16" t="s">
        <v>212</v>
      </c>
      <c r="B16" s="157">
        <v>41076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2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9.140625" style="144" customWidth="1"/>
    <col min="3" max="3" width="14.140625" style="0" customWidth="1"/>
    <col min="4" max="4" width="6.140625" style="0" customWidth="1"/>
    <col min="5" max="5" width="8.28125" style="144" customWidth="1"/>
    <col min="7" max="8" width="5.57421875" style="52" customWidth="1"/>
    <col min="11" max="11" width="9.140625" style="161" customWidth="1"/>
    <col min="17" max="18" width="9.140625" style="52" customWidth="1"/>
  </cols>
  <sheetData>
    <row r="1" spans="1:18" s="14" customFormat="1" ht="12.75">
      <c r="A1" s="14" t="s">
        <v>30</v>
      </c>
      <c r="B1" s="143"/>
      <c r="E1" s="143"/>
      <c r="G1" s="51"/>
      <c r="H1" s="51"/>
      <c r="K1" s="160"/>
      <c r="Q1" s="51"/>
      <c r="R1" s="51"/>
    </row>
    <row r="3" spans="1:18" s="14" customFormat="1" ht="12.75">
      <c r="A3" s="14" t="s">
        <v>44</v>
      </c>
      <c r="B3" s="143"/>
      <c r="E3" s="143"/>
      <c r="G3" s="51"/>
      <c r="H3" s="51"/>
      <c r="K3" s="160"/>
      <c r="Q3" s="51"/>
      <c r="R3" s="51"/>
    </row>
    <row r="4" spans="1:18" s="14" customFormat="1" ht="12.75">
      <c r="A4" s="14" t="s">
        <v>31</v>
      </c>
      <c r="B4" s="143"/>
      <c r="E4" s="143"/>
      <c r="G4" s="51"/>
      <c r="H4" s="51"/>
      <c r="K4" s="160"/>
      <c r="Q4" s="51"/>
      <c r="R4" s="51"/>
    </row>
    <row r="5" ht="12.75">
      <c r="A5" s="14" t="s">
        <v>32</v>
      </c>
    </row>
    <row r="6" spans="1:16" ht="12.75">
      <c r="A6" s="1" t="s">
        <v>0</v>
      </c>
      <c r="B6" s="134" t="s">
        <v>1</v>
      </c>
      <c r="C6" s="3" t="s">
        <v>2</v>
      </c>
      <c r="D6" s="4" t="s">
        <v>3</v>
      </c>
      <c r="E6" s="147" t="s">
        <v>4</v>
      </c>
      <c r="F6" s="16" t="s">
        <v>114</v>
      </c>
      <c r="G6" s="53"/>
      <c r="I6" t="s">
        <v>6</v>
      </c>
      <c r="J6" s="12">
        <v>12.3</v>
      </c>
      <c r="K6" s="158" t="s">
        <v>322</v>
      </c>
      <c r="L6" s="2"/>
      <c r="M6" s="3"/>
      <c r="N6" s="4"/>
      <c r="O6" s="5"/>
      <c r="P6" s="16"/>
    </row>
    <row r="7" spans="1:18" ht="12.75" customHeight="1">
      <c r="A7" s="6">
        <v>1</v>
      </c>
      <c r="B7" s="138">
        <v>1</v>
      </c>
      <c r="C7" s="8" t="str">
        <f aca="true" t="shared" si="0" ref="C7:C12">IF(OR($B7=0,$B7=""),"",VLOOKUP($B7,_jg100,2,FALSE))</f>
        <v>A Sillett</v>
      </c>
      <c r="D7" s="8" t="str">
        <f aca="true" t="shared" si="1" ref="D7:D12">IF(OR($B7=0,$B7=""),"",VLOOKUP($B7,_jg100,3,FALSE))</f>
        <v>BRK</v>
      </c>
      <c r="E7" s="148">
        <v>13</v>
      </c>
      <c r="F7" t="s">
        <v>123</v>
      </c>
      <c r="G7" s="54">
        <f>IF(E7="","",IF(E7&gt;J6,"","CBP"))</f>
      </c>
      <c r="H7" s="54">
        <f aca="true" t="shared" si="2" ref="H7:H20">IF(E7="","",IF(E7&gt;J$7,"","ESQ"))</f>
      </c>
      <c r="I7" t="s">
        <v>26</v>
      </c>
      <c r="J7" s="12">
        <v>12.8</v>
      </c>
      <c r="K7" s="158"/>
      <c r="L7" s="7"/>
      <c r="M7" s="8"/>
      <c r="N7" s="8"/>
      <c r="O7" s="9"/>
      <c r="Q7" s="54">
        <f>IF(O7="","",IF(O7&gt;J6,"","CBP"))</f>
      </c>
      <c r="R7" s="54">
        <f aca="true" t="shared" si="3" ref="R7:R12">IF(O7="","",IF(O7&gt;J$7,"","ESQ"))</f>
      </c>
    </row>
    <row r="8" spans="1:18" ht="12.75" customHeight="1">
      <c r="A8" s="6">
        <v>2</v>
      </c>
      <c r="B8" s="138">
        <v>12</v>
      </c>
      <c r="C8" s="8" t="str">
        <f t="shared" si="0"/>
        <v>F Gaye</v>
      </c>
      <c r="D8" s="8" t="str">
        <f t="shared" si="1"/>
        <v>WOK</v>
      </c>
      <c r="E8" s="148">
        <v>13.4</v>
      </c>
      <c r="F8" t="s">
        <v>123</v>
      </c>
      <c r="H8" s="54">
        <f t="shared" si="2"/>
      </c>
      <c r="J8" s="12"/>
      <c r="K8" s="158"/>
      <c r="L8" s="7"/>
      <c r="M8" s="8"/>
      <c r="N8" s="8"/>
      <c r="O8" s="9"/>
      <c r="R8" s="54">
        <f t="shared" si="3"/>
      </c>
    </row>
    <row r="9" spans="1:18" ht="12.75" customHeight="1">
      <c r="A9" s="6">
        <v>3</v>
      </c>
      <c r="B9" s="145">
        <v>7</v>
      </c>
      <c r="C9" s="8" t="str">
        <f t="shared" si="0"/>
        <v>Shanelle Onestas</v>
      </c>
      <c r="D9" s="8" t="str">
        <f t="shared" si="1"/>
        <v>SL</v>
      </c>
      <c r="E9" s="148">
        <v>13.4</v>
      </c>
      <c r="F9" s="42" t="s">
        <v>123</v>
      </c>
      <c r="G9" s="55"/>
      <c r="H9" s="54">
        <f t="shared" si="2"/>
      </c>
      <c r="J9" s="12"/>
      <c r="K9" s="158"/>
      <c r="L9" s="10"/>
      <c r="M9" s="8"/>
      <c r="N9" s="8"/>
      <c r="O9" s="9"/>
      <c r="P9" s="42"/>
      <c r="R9" s="54">
        <f t="shared" si="3"/>
      </c>
    </row>
    <row r="10" spans="1:18" ht="12.75" customHeight="1">
      <c r="A10" s="6">
        <v>4</v>
      </c>
      <c r="B10" s="141">
        <v>10</v>
      </c>
      <c r="C10" s="8" t="str">
        <f t="shared" si="0"/>
        <v>Olivia Downey</v>
      </c>
      <c r="D10" s="8" t="str">
        <f t="shared" si="1"/>
        <v>W&amp;M</v>
      </c>
      <c r="E10" s="148">
        <v>13.9</v>
      </c>
      <c r="F10" s="42"/>
      <c r="H10" s="54">
        <f t="shared" si="2"/>
      </c>
      <c r="J10" s="12"/>
      <c r="K10" s="158"/>
      <c r="L10" s="11"/>
      <c r="M10" s="8"/>
      <c r="N10" s="8"/>
      <c r="O10" s="9"/>
      <c r="R10" s="54">
        <f t="shared" si="3"/>
      </c>
    </row>
    <row r="11" spans="1:18" ht="12.75" customHeight="1">
      <c r="A11" s="6">
        <v>5</v>
      </c>
      <c r="B11" s="132">
        <v>6</v>
      </c>
      <c r="C11" s="8" t="str">
        <f t="shared" si="0"/>
        <v>Betty McAdden</v>
      </c>
      <c r="D11" s="8" t="str">
        <f t="shared" si="1"/>
        <v>RDG</v>
      </c>
      <c r="E11" s="148">
        <v>14.1</v>
      </c>
      <c r="H11" s="54">
        <f t="shared" si="2"/>
      </c>
      <c r="J11" s="12"/>
      <c r="K11" s="158"/>
      <c r="L11" s="6"/>
      <c r="M11" s="8"/>
      <c r="N11" s="8"/>
      <c r="O11" s="9"/>
      <c r="R11" s="54">
        <f t="shared" si="3"/>
      </c>
    </row>
    <row r="12" spans="1:18" ht="12.75" customHeight="1">
      <c r="A12" s="6">
        <v>6</v>
      </c>
      <c r="B12" s="145"/>
      <c r="C12" s="8">
        <f t="shared" si="0"/>
      </c>
      <c r="D12" s="8">
        <f t="shared" si="1"/>
      </c>
      <c r="E12" s="148"/>
      <c r="H12" s="54">
        <f t="shared" si="2"/>
      </c>
      <c r="J12" s="12"/>
      <c r="K12" s="158"/>
      <c r="L12" s="10"/>
      <c r="M12" s="8"/>
      <c r="N12" s="8"/>
      <c r="O12" s="9"/>
      <c r="R12" s="54">
        <f t="shared" si="3"/>
      </c>
    </row>
    <row r="13" spans="1:8" ht="12.75" customHeight="1">
      <c r="A13" s="14" t="s">
        <v>33</v>
      </c>
      <c r="B13"/>
      <c r="E13"/>
      <c r="H13" s="54">
        <f t="shared" si="2"/>
      </c>
    </row>
    <row r="14" spans="1:8" ht="12.75" customHeight="1">
      <c r="A14" s="1" t="s">
        <v>0</v>
      </c>
      <c r="B14" s="2" t="s">
        <v>1</v>
      </c>
      <c r="C14" s="3" t="s">
        <v>2</v>
      </c>
      <c r="D14" s="4" t="s">
        <v>3</v>
      </c>
      <c r="E14" s="5" t="s">
        <v>4</v>
      </c>
      <c r="F14" s="16" t="s">
        <v>114</v>
      </c>
      <c r="H14" s="54">
        <f t="shared" si="2"/>
      </c>
    </row>
    <row r="15" spans="1:8" ht="12.75" customHeight="1">
      <c r="A15" s="6">
        <v>1</v>
      </c>
      <c r="B15" s="7">
        <v>11</v>
      </c>
      <c r="C15" s="8" t="str">
        <f aca="true" t="shared" si="4" ref="C15:C20">IF(OR($B15=0,$B15=""),"",VLOOKUP($B15,_jg100,2,FALSE))</f>
        <v>L Springer</v>
      </c>
      <c r="D15" s="8" t="str">
        <f aca="true" t="shared" si="5" ref="D15:D20">IF(OR($B15=0,$B15=""),"",VLOOKUP($B15,_jg100,3,FALSE))</f>
        <v>WOK</v>
      </c>
      <c r="E15" s="9">
        <v>13.4</v>
      </c>
      <c r="F15" t="s">
        <v>123</v>
      </c>
      <c r="G15" s="54">
        <f>IF(E15="","",IF(E15&gt;J6,"","CBP"))</f>
      </c>
      <c r="H15" s="54">
        <f t="shared" si="2"/>
      </c>
    </row>
    <row r="16" spans="1:8" ht="12.75" customHeight="1">
      <c r="A16" s="6">
        <v>2</v>
      </c>
      <c r="B16" s="7">
        <v>2</v>
      </c>
      <c r="C16" s="8" t="str">
        <f t="shared" si="4"/>
        <v>I Cook</v>
      </c>
      <c r="D16" s="8" t="str">
        <f t="shared" si="5"/>
        <v>BRK</v>
      </c>
      <c r="E16" s="9">
        <v>13.5</v>
      </c>
      <c r="F16" t="s">
        <v>123</v>
      </c>
      <c r="H16" s="54">
        <f t="shared" si="2"/>
      </c>
    </row>
    <row r="17" spans="1:8" ht="12.75" customHeight="1">
      <c r="A17" s="6">
        <v>3</v>
      </c>
      <c r="B17" s="10">
        <v>9</v>
      </c>
      <c r="C17" s="8" t="str">
        <f t="shared" si="4"/>
        <v>Olivia Phelps</v>
      </c>
      <c r="D17" s="8" t="str">
        <f t="shared" si="5"/>
        <v>W&amp;M</v>
      </c>
      <c r="E17" s="9">
        <v>13.7</v>
      </c>
      <c r="F17" s="42" t="s">
        <v>123</v>
      </c>
      <c r="H17" s="54">
        <f t="shared" si="2"/>
      </c>
    </row>
    <row r="18" spans="1:8" ht="12.75" customHeight="1">
      <c r="A18" s="6">
        <v>4</v>
      </c>
      <c r="B18" s="11">
        <v>8</v>
      </c>
      <c r="C18" s="8" t="str">
        <f t="shared" si="4"/>
        <v>Grace Taqui</v>
      </c>
      <c r="D18" s="8" t="str">
        <f t="shared" si="5"/>
        <v>SL</v>
      </c>
      <c r="E18" s="9">
        <v>14.4</v>
      </c>
      <c r="F18" s="42"/>
      <c r="H18" s="54">
        <f t="shared" si="2"/>
      </c>
    </row>
    <row r="19" spans="1:8" ht="12.75" customHeight="1">
      <c r="A19" s="6">
        <v>5</v>
      </c>
      <c r="B19" s="6"/>
      <c r="C19" s="8">
        <f t="shared" si="4"/>
      </c>
      <c r="D19" s="8">
        <f t="shared" si="5"/>
      </c>
      <c r="E19" s="9"/>
      <c r="H19" s="54">
        <f t="shared" si="2"/>
      </c>
    </row>
    <row r="20" spans="1:8" ht="12.75" customHeight="1">
      <c r="A20" s="6">
        <v>6</v>
      </c>
      <c r="B20" s="10"/>
      <c r="C20" s="8">
        <f t="shared" si="4"/>
      </c>
      <c r="D20" s="8">
        <f t="shared" si="5"/>
      </c>
      <c r="E20" s="9"/>
      <c r="H20" s="54">
        <f t="shared" si="2"/>
      </c>
    </row>
    <row r="21" ht="12.75" customHeight="1"/>
    <row r="22" spans="1:10" ht="12.75" customHeight="1">
      <c r="A22" s="14" t="s">
        <v>37</v>
      </c>
      <c r="B22" s="143"/>
      <c r="C22" s="14"/>
      <c r="D22" s="14"/>
      <c r="E22" s="143"/>
      <c r="F22" s="14"/>
      <c r="G22" s="51"/>
      <c r="H22" s="51"/>
      <c r="I22" s="14"/>
      <c r="J22" s="14"/>
    </row>
    <row r="23" ht="12.75" customHeight="1"/>
    <row r="24" spans="1:11" ht="12.75" customHeight="1">
      <c r="A24" s="1" t="s">
        <v>0</v>
      </c>
      <c r="B24" s="134" t="s">
        <v>1</v>
      </c>
      <c r="C24" s="3" t="s">
        <v>2</v>
      </c>
      <c r="D24" s="4" t="s">
        <v>3</v>
      </c>
      <c r="E24" s="147" t="s">
        <v>4</v>
      </c>
      <c r="F24" s="16" t="s">
        <v>24</v>
      </c>
      <c r="G24" s="53"/>
      <c r="I24" t="s">
        <v>6</v>
      </c>
      <c r="J24" s="49">
        <v>0.0015775462962962963</v>
      </c>
      <c r="K24" s="161" t="s">
        <v>221</v>
      </c>
    </row>
    <row r="25" spans="1:10" ht="12.75" customHeight="1">
      <c r="A25" s="6">
        <v>1</v>
      </c>
      <c r="B25" s="138">
        <v>11</v>
      </c>
      <c r="C25" s="8" t="str">
        <f aca="true" t="shared" si="6" ref="C25:C37">IF(OR($B25=0,$B25=""),"",VLOOKUP($B25,jg800m,2,FALSE))</f>
        <v>Hannah Roberts</v>
      </c>
      <c r="D25" s="8" t="str">
        <f aca="true" t="shared" si="7" ref="D25:D37">IF(OR($B25=0,$B25=""),"",VLOOKUP($B25,jg800m,3,FALSE))</f>
        <v>WOK</v>
      </c>
      <c r="E25" s="149">
        <v>0.0016041666666666667</v>
      </c>
      <c r="F25">
        <v>6</v>
      </c>
      <c r="G25" s="54">
        <f>IF(E25="","",IF(E25&gt;J24,"","CBP"))</f>
      </c>
      <c r="H25" s="54" t="str">
        <f>IF(E25="","",IF(E25&gt;J$25,"","ESQ"))</f>
        <v>ESQ</v>
      </c>
      <c r="I25" t="s">
        <v>26</v>
      </c>
      <c r="J25" s="49">
        <v>0.0016203703703703703</v>
      </c>
    </row>
    <row r="26" spans="1:10" ht="12.75" customHeight="1">
      <c r="A26" s="6">
        <v>2</v>
      </c>
      <c r="B26" s="138">
        <v>1</v>
      </c>
      <c r="C26" s="8" t="str">
        <f t="shared" si="6"/>
        <v>Susie Mair</v>
      </c>
      <c r="D26" s="8" t="str">
        <f t="shared" si="7"/>
        <v>BRK</v>
      </c>
      <c r="E26" s="149">
        <v>0.0016886574074074076</v>
      </c>
      <c r="F26">
        <v>5</v>
      </c>
      <c r="H26" s="54">
        <f aca="true" t="shared" si="8" ref="H26:H36">IF(E26="","",IF(E26&gt;J$25,"","ESQ"))</f>
      </c>
      <c r="J26" s="12"/>
    </row>
    <row r="27" spans="1:10" ht="12.75" customHeight="1">
      <c r="A27" s="6">
        <v>3</v>
      </c>
      <c r="B27" s="145">
        <v>12</v>
      </c>
      <c r="C27" s="8" t="str">
        <f t="shared" si="6"/>
        <v>T Weavers</v>
      </c>
      <c r="D27" s="8" t="str">
        <f t="shared" si="7"/>
        <v>WOK</v>
      </c>
      <c r="E27" s="149">
        <v>0.001707175925925926</v>
      </c>
      <c r="F27">
        <v>4</v>
      </c>
      <c r="H27" s="54">
        <f t="shared" si="8"/>
      </c>
      <c r="J27" s="12"/>
    </row>
    <row r="28" spans="1:10" ht="12.75" customHeight="1">
      <c r="A28" s="6">
        <v>4</v>
      </c>
      <c r="B28" s="141">
        <v>9</v>
      </c>
      <c r="C28" s="8" t="str">
        <f t="shared" si="6"/>
        <v>Freya Jones</v>
      </c>
      <c r="D28" s="8" t="str">
        <f t="shared" si="7"/>
        <v>W&amp;M</v>
      </c>
      <c r="E28" s="149">
        <v>0.0017511574074074072</v>
      </c>
      <c r="F28">
        <v>3</v>
      </c>
      <c r="H28" s="54">
        <f t="shared" si="8"/>
      </c>
      <c r="J28" s="12"/>
    </row>
    <row r="29" spans="1:10" ht="12.75" customHeight="1">
      <c r="A29" s="6">
        <v>5</v>
      </c>
      <c r="B29" s="132">
        <v>2</v>
      </c>
      <c r="C29" s="8" t="str">
        <f t="shared" si="6"/>
        <v>M Stark</v>
      </c>
      <c r="D29" s="8" t="str">
        <f t="shared" si="7"/>
        <v>BRK</v>
      </c>
      <c r="E29" s="149">
        <v>0.0017604166666666669</v>
      </c>
      <c r="F29">
        <v>2</v>
      </c>
      <c r="H29" s="54">
        <f t="shared" si="8"/>
      </c>
      <c r="J29" s="12"/>
    </row>
    <row r="30" spans="1:10" ht="12.75" customHeight="1">
      <c r="A30" s="6">
        <v>6</v>
      </c>
      <c r="B30" s="145">
        <v>10</v>
      </c>
      <c r="C30" s="8" t="str">
        <f t="shared" si="6"/>
        <v>Isabelle Craven</v>
      </c>
      <c r="D30" s="8" t="str">
        <f t="shared" si="7"/>
        <v>W&amp;M</v>
      </c>
      <c r="E30" s="149">
        <v>0.0017638888888888888</v>
      </c>
      <c r="F30">
        <v>1</v>
      </c>
      <c r="H30" s="54">
        <f t="shared" si="8"/>
      </c>
      <c r="J30" s="12"/>
    </row>
    <row r="31" spans="1:8" ht="12.75" customHeight="1">
      <c r="A31" s="6">
        <v>7</v>
      </c>
      <c r="B31" s="146">
        <v>5</v>
      </c>
      <c r="C31" s="8" t="str">
        <f t="shared" si="6"/>
        <v>Oonagh O'Driscoll</v>
      </c>
      <c r="D31" s="8" t="str">
        <f t="shared" si="7"/>
        <v>RDG</v>
      </c>
      <c r="E31" s="149">
        <v>0.0017893518518518519</v>
      </c>
      <c r="H31" s="54">
        <f t="shared" si="8"/>
      </c>
    </row>
    <row r="32" spans="1:8" ht="12.75" customHeight="1">
      <c r="A32" s="6">
        <v>8</v>
      </c>
      <c r="B32" s="146">
        <v>3</v>
      </c>
      <c r="C32" s="8" t="str">
        <f t="shared" si="6"/>
        <v>S Brooke</v>
      </c>
      <c r="D32" s="8" t="str">
        <f t="shared" si="7"/>
        <v>WB</v>
      </c>
      <c r="E32" s="149">
        <v>0.0017962962962962965</v>
      </c>
      <c r="H32" s="54">
        <f t="shared" si="8"/>
      </c>
    </row>
    <row r="33" spans="1:8" ht="12.75" customHeight="1">
      <c r="A33" s="6">
        <v>9</v>
      </c>
      <c r="B33" s="146">
        <v>4</v>
      </c>
      <c r="C33" s="8" t="str">
        <f t="shared" si="6"/>
        <v>B Philip</v>
      </c>
      <c r="D33" s="8" t="str">
        <f t="shared" si="7"/>
        <v>WB</v>
      </c>
      <c r="E33" s="149">
        <v>0.0018171296296296297</v>
      </c>
      <c r="H33" s="54">
        <f t="shared" si="8"/>
      </c>
    </row>
    <row r="34" spans="1:8" ht="12.75" customHeight="1">
      <c r="A34" s="6">
        <v>10</v>
      </c>
      <c r="B34" s="146">
        <v>7</v>
      </c>
      <c r="C34" s="8" t="str">
        <f t="shared" si="6"/>
        <v>Alice Egan</v>
      </c>
      <c r="D34" s="8" t="str">
        <f t="shared" si="7"/>
        <v>SL</v>
      </c>
      <c r="E34" s="149">
        <v>0.0019421296296296298</v>
      </c>
      <c r="H34" s="54">
        <f t="shared" si="8"/>
      </c>
    </row>
    <row r="35" spans="1:8" ht="12.75" customHeight="1">
      <c r="A35" s="6">
        <v>11</v>
      </c>
      <c r="B35" s="301">
        <v>8</v>
      </c>
      <c r="C35" s="8" t="str">
        <f t="shared" si="6"/>
        <v>Jessica Fewkes</v>
      </c>
      <c r="D35" s="8" t="str">
        <f t="shared" si="7"/>
        <v>SL</v>
      </c>
      <c r="E35" s="311">
        <v>0.0019467592592592592</v>
      </c>
      <c r="H35" s="54">
        <f>IF(E35="","",IF(E35&gt;J$25,"","ESQ"))</f>
      </c>
    </row>
    <row r="36" spans="1:8" ht="12.75" customHeight="1">
      <c r="A36" s="6">
        <v>12</v>
      </c>
      <c r="B36" s="301">
        <v>6</v>
      </c>
      <c r="C36" s="8" t="str">
        <f t="shared" si="6"/>
        <v>Francesca Blackwell</v>
      </c>
      <c r="D36" s="8" t="str">
        <f t="shared" si="7"/>
        <v>RDG</v>
      </c>
      <c r="E36" s="311">
        <v>0.0019583333333333336</v>
      </c>
      <c r="H36" s="54">
        <f t="shared" si="8"/>
      </c>
    </row>
    <row r="37" spans="3:4" ht="12.75" customHeight="1">
      <c r="C37" s="8">
        <f t="shared" si="6"/>
      </c>
      <c r="D37" s="8">
        <f t="shared" si="7"/>
      </c>
    </row>
    <row r="38" spans="1:18" s="14" customFormat="1" ht="12.75" customHeight="1">
      <c r="A38" s="14" t="s">
        <v>134</v>
      </c>
      <c r="B38" s="143"/>
      <c r="E38" s="143"/>
      <c r="G38" s="51"/>
      <c r="H38" s="51"/>
      <c r="K38" s="160"/>
      <c r="Q38" s="51"/>
      <c r="R38" s="51"/>
    </row>
    <row r="39" ht="12.75" customHeight="1">
      <c r="A39" t="s">
        <v>32</v>
      </c>
    </row>
    <row r="40" spans="1:16" ht="12.75" customHeight="1">
      <c r="A40" s="1" t="s">
        <v>0</v>
      </c>
      <c r="B40" s="134" t="s">
        <v>1</v>
      </c>
      <c r="C40" s="3" t="s">
        <v>2</v>
      </c>
      <c r="D40" s="4" t="s">
        <v>3</v>
      </c>
      <c r="E40" s="147" t="s">
        <v>4</v>
      </c>
      <c r="F40" s="16" t="s">
        <v>114</v>
      </c>
      <c r="G40" s="53"/>
      <c r="I40" t="s">
        <v>6</v>
      </c>
      <c r="J40" s="12">
        <v>11.5</v>
      </c>
      <c r="K40" s="158" t="s">
        <v>225</v>
      </c>
      <c r="L40" s="2"/>
      <c r="M40" s="3"/>
      <c r="N40" s="4"/>
      <c r="O40" s="5"/>
      <c r="P40" s="16"/>
    </row>
    <row r="41" spans="1:18" ht="12.75" customHeight="1">
      <c r="A41" s="6">
        <v>1</v>
      </c>
      <c r="B41" s="138">
        <v>11</v>
      </c>
      <c r="C41" s="8" t="str">
        <f aca="true" t="shared" si="9" ref="C41:C46">IF(OR($B41=0,$B41=""),"",VLOOKUP($B41,jg75mh,2,FALSE))</f>
        <v>C Eames</v>
      </c>
      <c r="D41" s="8" t="str">
        <f aca="true" t="shared" si="10" ref="D41:D46">IF(OR($B41=0,$B41=""),"",VLOOKUP($B41,jg75mh,3,FALSE))</f>
        <v>WOK</v>
      </c>
      <c r="E41" s="148">
        <v>11.9</v>
      </c>
      <c r="F41" s="42" t="s">
        <v>123</v>
      </c>
      <c r="G41" s="54">
        <f>IF(E41="","",IF(E41&gt;J40,"","CBP"))</f>
      </c>
      <c r="H41" s="54">
        <f aca="true" t="shared" si="11" ref="H41:H46">IF(E41="","",IF(E41&gt;J$41,"","ESQ"))</f>
      </c>
      <c r="I41" t="s">
        <v>26</v>
      </c>
      <c r="J41" s="12">
        <v>11.8</v>
      </c>
      <c r="K41" s="158"/>
      <c r="L41" s="7"/>
      <c r="M41" s="8"/>
      <c r="N41" s="8"/>
      <c r="O41" s="9"/>
      <c r="Q41" s="54"/>
      <c r="R41" s="54"/>
    </row>
    <row r="42" spans="1:18" ht="12.75" customHeight="1">
      <c r="A42" s="6">
        <v>2</v>
      </c>
      <c r="B42" s="138">
        <v>1</v>
      </c>
      <c r="C42" s="8" t="str">
        <f t="shared" si="9"/>
        <v>A McArthur</v>
      </c>
      <c r="D42" s="8" t="str">
        <f t="shared" si="10"/>
        <v>BRK</v>
      </c>
      <c r="E42" s="148">
        <v>12.8</v>
      </c>
      <c r="F42" s="42" t="s">
        <v>123</v>
      </c>
      <c r="H42" s="54">
        <f t="shared" si="11"/>
      </c>
      <c r="J42" s="12"/>
      <c r="K42" s="158"/>
      <c r="L42" s="7"/>
      <c r="M42" s="8"/>
      <c r="N42" s="8"/>
      <c r="O42" s="9"/>
      <c r="R42" s="54"/>
    </row>
    <row r="43" spans="1:18" ht="12.75" customHeight="1">
      <c r="A43" s="6">
        <v>3</v>
      </c>
      <c r="B43" s="145">
        <v>9</v>
      </c>
      <c r="C43" s="8" t="str">
        <f t="shared" si="9"/>
        <v>Annabelle Ruinet</v>
      </c>
      <c r="D43" s="8" t="str">
        <f t="shared" si="10"/>
        <v>W&amp;M</v>
      </c>
      <c r="E43" s="148">
        <v>13.4</v>
      </c>
      <c r="F43" s="42"/>
      <c r="G43" s="55"/>
      <c r="H43" s="54">
        <f t="shared" si="11"/>
      </c>
      <c r="J43" s="12"/>
      <c r="K43" s="158"/>
      <c r="L43" s="10"/>
      <c r="M43" s="8"/>
      <c r="N43" s="8"/>
      <c r="O43" s="9"/>
      <c r="P43" s="42"/>
      <c r="R43" s="54"/>
    </row>
    <row r="44" spans="1:18" ht="12.75" customHeight="1">
      <c r="A44" s="6">
        <v>4</v>
      </c>
      <c r="B44" s="141">
        <v>4</v>
      </c>
      <c r="C44" s="8" t="str">
        <f t="shared" si="9"/>
        <v>H Neville</v>
      </c>
      <c r="D44" s="8" t="str">
        <f t="shared" si="10"/>
        <v>WB</v>
      </c>
      <c r="E44" s="148">
        <v>13.6</v>
      </c>
      <c r="F44" s="42"/>
      <c r="H44" s="54">
        <f t="shared" si="11"/>
      </c>
      <c r="J44" s="12"/>
      <c r="K44" s="158"/>
      <c r="L44" s="11"/>
      <c r="M44" s="8"/>
      <c r="N44" s="8"/>
      <c r="O44" s="9"/>
      <c r="R44" s="54"/>
    </row>
    <row r="45" spans="1:18" ht="12.75" customHeight="1">
      <c r="A45" s="6">
        <v>5</v>
      </c>
      <c r="B45" s="132">
        <v>5</v>
      </c>
      <c r="C45" s="8" t="str">
        <f t="shared" si="9"/>
        <v>Maya Jani</v>
      </c>
      <c r="D45" s="8" t="str">
        <f t="shared" si="10"/>
        <v>RDG</v>
      </c>
      <c r="E45" s="148" t="s">
        <v>1398</v>
      </c>
      <c r="F45" s="42"/>
      <c r="H45" s="54">
        <f t="shared" si="11"/>
      </c>
      <c r="J45" s="12"/>
      <c r="K45" s="158"/>
      <c r="L45" s="6"/>
      <c r="M45" s="8"/>
      <c r="N45" s="8"/>
      <c r="O45" s="9"/>
      <c r="R45" s="54"/>
    </row>
    <row r="46" spans="1:18" ht="12.75" customHeight="1">
      <c r="A46" s="6">
        <v>6</v>
      </c>
      <c r="B46" s="145"/>
      <c r="C46" s="8">
        <f t="shared" si="9"/>
      </c>
      <c r="D46" s="8">
        <f t="shared" si="10"/>
      </c>
      <c r="E46" s="148"/>
      <c r="H46" s="54">
        <f t="shared" si="11"/>
      </c>
      <c r="J46" s="12"/>
      <c r="K46" s="158"/>
      <c r="L46" s="10"/>
      <c r="M46" s="8"/>
      <c r="N46" s="8"/>
      <c r="O46" s="9"/>
      <c r="R46" s="54"/>
    </row>
    <row r="47" spans="1:18" ht="12.75" customHeight="1">
      <c r="A47" t="s">
        <v>33</v>
      </c>
      <c r="B47"/>
      <c r="E47"/>
      <c r="J47" s="12"/>
      <c r="K47" s="158"/>
      <c r="L47" s="10"/>
      <c r="M47" s="8"/>
      <c r="N47" s="8"/>
      <c r="O47" s="9"/>
      <c r="R47" s="54"/>
    </row>
    <row r="48" spans="1:18" ht="12.75" customHeight="1">
      <c r="A48" s="1" t="s">
        <v>0</v>
      </c>
      <c r="B48" s="2" t="s">
        <v>1</v>
      </c>
      <c r="C48" s="3" t="s">
        <v>2</v>
      </c>
      <c r="D48" s="4" t="s">
        <v>3</v>
      </c>
      <c r="E48" s="5" t="s">
        <v>4</v>
      </c>
      <c r="F48" s="16" t="s">
        <v>114</v>
      </c>
      <c r="J48" s="12"/>
      <c r="K48" s="158"/>
      <c r="L48" s="10"/>
      <c r="M48" s="8"/>
      <c r="N48" s="8"/>
      <c r="O48" s="9"/>
      <c r="R48" s="54"/>
    </row>
    <row r="49" spans="1:18" ht="12.75" customHeight="1">
      <c r="A49" s="6">
        <v>1</v>
      </c>
      <c r="B49" s="7" t="s">
        <v>927</v>
      </c>
      <c r="C49" s="8" t="str">
        <f aca="true" t="shared" si="12" ref="C49:C54">IF(OR($B49=0,$B49=""),"",VLOOKUP($B49,jg75mh,2,FALSE))</f>
        <v>L Watkins</v>
      </c>
      <c r="D49" s="8" t="str">
        <f aca="true" t="shared" si="13" ref="D49:D54">IF(OR($B49=0,$B49=""),"",VLOOKUP($B49,jg75mh,3,FALSE))</f>
        <v>WOK</v>
      </c>
      <c r="E49" s="9">
        <v>12.2</v>
      </c>
      <c r="F49" s="42" t="s">
        <v>123</v>
      </c>
      <c r="G49" s="54">
        <f>IF(E49="","",IF(E49&gt;J40,"","CBP"))</f>
      </c>
      <c r="H49" s="54">
        <f aca="true" t="shared" si="14" ref="H49:H54">IF(E49="","",IF(E49&gt;J$41,"","ESQ"))</f>
      </c>
      <c r="J49" s="12"/>
      <c r="K49" s="158"/>
      <c r="L49" s="10"/>
      <c r="M49" s="8"/>
      <c r="N49" s="8"/>
      <c r="O49" s="9"/>
      <c r="R49" s="54"/>
    </row>
    <row r="50" spans="1:18" ht="12.75" customHeight="1">
      <c r="A50" s="6">
        <v>2</v>
      </c>
      <c r="B50" s="7">
        <v>2</v>
      </c>
      <c r="C50" s="8" t="str">
        <f t="shared" si="12"/>
        <v>H Savey-Bennett</v>
      </c>
      <c r="D50" s="8" t="str">
        <f t="shared" si="13"/>
        <v>BRK</v>
      </c>
      <c r="E50" s="9">
        <v>12.8</v>
      </c>
      <c r="F50" s="42" t="s">
        <v>123</v>
      </c>
      <c r="H50" s="54">
        <f t="shared" si="14"/>
      </c>
      <c r="J50" s="12"/>
      <c r="K50" s="158"/>
      <c r="L50" s="10"/>
      <c r="M50" s="8"/>
      <c r="N50" s="8"/>
      <c r="O50" s="9"/>
      <c r="R50" s="54"/>
    </row>
    <row r="51" spans="1:18" ht="12.75" customHeight="1">
      <c r="A51" s="6">
        <v>3</v>
      </c>
      <c r="B51" s="10">
        <v>3</v>
      </c>
      <c r="C51" s="8" t="str">
        <f t="shared" si="12"/>
        <v>A Hamilton</v>
      </c>
      <c r="D51" s="8" t="str">
        <f t="shared" si="13"/>
        <v>WB</v>
      </c>
      <c r="E51" s="9">
        <v>12.8</v>
      </c>
      <c r="F51" s="42" t="s">
        <v>123</v>
      </c>
      <c r="H51" s="54">
        <f t="shared" si="14"/>
      </c>
      <c r="J51" s="12"/>
      <c r="K51" s="158"/>
      <c r="L51" s="10"/>
      <c r="M51" s="8"/>
      <c r="N51" s="8"/>
      <c r="O51" s="9"/>
      <c r="R51" s="54"/>
    </row>
    <row r="52" spans="1:18" ht="12.75" customHeight="1">
      <c r="A52" s="6">
        <v>4</v>
      </c>
      <c r="B52" s="11">
        <v>12</v>
      </c>
      <c r="C52" s="8" t="str">
        <f t="shared" si="12"/>
        <v>E Pickford</v>
      </c>
      <c r="D52" s="8" t="str">
        <f t="shared" si="13"/>
        <v>WOK</v>
      </c>
      <c r="E52" s="9">
        <v>12.8</v>
      </c>
      <c r="F52" s="42" t="s">
        <v>123</v>
      </c>
      <c r="H52" s="54">
        <f t="shared" si="14"/>
      </c>
      <c r="J52" s="12"/>
      <c r="K52" s="158"/>
      <c r="L52" s="10"/>
      <c r="M52" s="8"/>
      <c r="N52" s="8"/>
      <c r="O52" s="9"/>
      <c r="R52" s="54"/>
    </row>
    <row r="53" spans="1:18" ht="12.75" customHeight="1">
      <c r="A53" s="6">
        <v>5</v>
      </c>
      <c r="B53" s="6">
        <v>10</v>
      </c>
      <c r="C53" s="8" t="str">
        <f t="shared" si="12"/>
        <v>Harana Sale</v>
      </c>
      <c r="D53" s="8" t="str">
        <f t="shared" si="13"/>
        <v>W&amp;M</v>
      </c>
      <c r="E53" s="9">
        <v>15.1</v>
      </c>
      <c r="H53" s="54">
        <f t="shared" si="14"/>
      </c>
      <c r="J53" s="12"/>
      <c r="K53" s="158"/>
      <c r="L53" s="10"/>
      <c r="M53" s="8"/>
      <c r="N53" s="8"/>
      <c r="O53" s="9"/>
      <c r="R53" s="54"/>
    </row>
    <row r="54" spans="1:18" ht="12.75" customHeight="1">
      <c r="A54" s="6">
        <v>6</v>
      </c>
      <c r="B54" s="10"/>
      <c r="C54" s="8">
        <f t="shared" si="12"/>
      </c>
      <c r="D54" s="8">
        <f t="shared" si="13"/>
      </c>
      <c r="E54" s="9"/>
      <c r="H54" s="54">
        <f t="shared" si="14"/>
      </c>
      <c r="J54" s="12"/>
      <c r="K54" s="158"/>
      <c r="L54" s="10"/>
      <c r="M54" s="8"/>
      <c r="N54" s="8"/>
      <c r="O54" s="9"/>
      <c r="R54" s="54"/>
    </row>
    <row r="55" ht="12.75" customHeight="1"/>
    <row r="56" spans="1:10" ht="12.75" customHeight="1">
      <c r="A56" s="14" t="s">
        <v>41</v>
      </c>
      <c r="B56" s="143"/>
      <c r="C56" s="14"/>
      <c r="D56" s="14"/>
      <c r="E56" s="143"/>
      <c r="F56" s="14"/>
      <c r="G56" s="51"/>
      <c r="H56" s="51"/>
      <c r="I56" s="14"/>
      <c r="J56" s="14"/>
    </row>
    <row r="57" ht="12.75" customHeight="1"/>
    <row r="58" spans="1:11" ht="12.75" customHeight="1">
      <c r="A58" s="1" t="s">
        <v>0</v>
      </c>
      <c r="B58" s="134" t="s">
        <v>1</v>
      </c>
      <c r="C58" s="3" t="s">
        <v>2</v>
      </c>
      <c r="D58" s="4" t="s">
        <v>3</v>
      </c>
      <c r="E58" s="147" t="s">
        <v>4</v>
      </c>
      <c r="F58" s="16" t="s">
        <v>24</v>
      </c>
      <c r="G58" s="53"/>
      <c r="I58" t="s">
        <v>6</v>
      </c>
      <c r="J58" s="12">
        <v>12.3</v>
      </c>
      <c r="K58" s="158" t="s">
        <v>322</v>
      </c>
    </row>
    <row r="59" spans="1:10" ht="12.75" customHeight="1">
      <c r="A59" s="6">
        <v>1</v>
      </c>
      <c r="B59" s="138">
        <v>1</v>
      </c>
      <c r="C59" s="8" t="str">
        <f aca="true" t="shared" si="15" ref="C59:C64">IF(OR($B59=0,$B59=""),"",VLOOKUP($B59,_jg100,2,FALSE))</f>
        <v>A Sillett</v>
      </c>
      <c r="D59" s="8" t="str">
        <f aca="true" t="shared" si="16" ref="D59:D64">IF(OR($B59=0,$B59=""),"",VLOOKUP($B59,_jg100,3,FALSE))</f>
        <v>BRK</v>
      </c>
      <c r="E59" s="148">
        <v>12.9</v>
      </c>
      <c r="F59">
        <v>6</v>
      </c>
      <c r="G59" s="54">
        <f>IF(E59="","",IF(E59&gt;J58,"","CBP"))</f>
      </c>
      <c r="H59" s="54">
        <f aca="true" t="shared" si="17" ref="H59:H64">IF(E59="","",IF(E59&gt;J$59,"","ESQ"))</f>
      </c>
      <c r="I59" t="s">
        <v>26</v>
      </c>
      <c r="J59" s="12">
        <v>12.8</v>
      </c>
    </row>
    <row r="60" spans="1:10" ht="12.75" customHeight="1">
      <c r="A60" s="6">
        <v>2</v>
      </c>
      <c r="B60" s="138">
        <v>7</v>
      </c>
      <c r="C60" s="8" t="str">
        <f t="shared" si="15"/>
        <v>Shanelle Onestas</v>
      </c>
      <c r="D60" s="8" t="str">
        <f t="shared" si="16"/>
        <v>SL</v>
      </c>
      <c r="E60" s="148">
        <v>13.2</v>
      </c>
      <c r="F60">
        <v>5</v>
      </c>
      <c r="H60" s="54">
        <f t="shared" si="17"/>
      </c>
      <c r="J60" s="12"/>
    </row>
    <row r="61" spans="1:10" ht="12.75" customHeight="1">
      <c r="A61" s="6">
        <v>3</v>
      </c>
      <c r="B61" s="145">
        <v>11</v>
      </c>
      <c r="C61" s="8" t="str">
        <f t="shared" si="15"/>
        <v>L Springer</v>
      </c>
      <c r="D61" s="8" t="str">
        <f t="shared" si="16"/>
        <v>WOK</v>
      </c>
      <c r="E61" s="148">
        <v>13.3</v>
      </c>
      <c r="F61">
        <v>4</v>
      </c>
      <c r="H61" s="54">
        <f t="shared" si="17"/>
      </c>
      <c r="J61" s="12"/>
    </row>
    <row r="62" spans="1:10" ht="12.75" customHeight="1">
      <c r="A62" s="6">
        <v>4</v>
      </c>
      <c r="B62" s="141">
        <v>12</v>
      </c>
      <c r="C62" s="8" t="str">
        <f t="shared" si="15"/>
        <v>F Gaye</v>
      </c>
      <c r="D62" s="8" t="str">
        <f t="shared" si="16"/>
        <v>WOK</v>
      </c>
      <c r="E62" s="148">
        <v>13.5</v>
      </c>
      <c r="F62">
        <v>3</v>
      </c>
      <c r="H62" s="54">
        <f t="shared" si="17"/>
      </c>
      <c r="J62" s="12"/>
    </row>
    <row r="63" spans="1:10" ht="12.75" customHeight="1">
      <c r="A63" s="6">
        <v>5</v>
      </c>
      <c r="B63" s="132">
        <v>9</v>
      </c>
      <c r="C63" s="8" t="str">
        <f t="shared" si="15"/>
        <v>Olivia Phelps</v>
      </c>
      <c r="D63" s="8" t="str">
        <f t="shared" si="16"/>
        <v>W&amp;M</v>
      </c>
      <c r="E63" s="148">
        <v>13.6</v>
      </c>
      <c r="F63">
        <v>2</v>
      </c>
      <c r="H63" s="54">
        <f t="shared" si="17"/>
      </c>
      <c r="J63" s="12"/>
    </row>
    <row r="64" spans="1:10" ht="12.75" customHeight="1">
      <c r="A64" s="6">
        <v>6</v>
      </c>
      <c r="B64" s="145">
        <v>2</v>
      </c>
      <c r="C64" s="8" t="str">
        <f t="shared" si="15"/>
        <v>I Cook</v>
      </c>
      <c r="D64" s="8" t="str">
        <f t="shared" si="16"/>
        <v>BRK</v>
      </c>
      <c r="E64" s="148">
        <v>13.8</v>
      </c>
      <c r="F64">
        <v>1</v>
      </c>
      <c r="H64" s="54">
        <f t="shared" si="17"/>
      </c>
      <c r="J64" s="12"/>
    </row>
    <row r="65" ht="12.75" customHeight="1"/>
    <row r="66" spans="1:10" ht="12.75" customHeight="1">
      <c r="A66" s="14" t="s">
        <v>43</v>
      </c>
      <c r="B66" s="143"/>
      <c r="C66" s="14"/>
      <c r="D66" s="14"/>
      <c r="E66" s="143"/>
      <c r="F66" s="14"/>
      <c r="G66" s="51"/>
      <c r="H66" s="51"/>
      <c r="I66" s="14"/>
      <c r="J66" s="14"/>
    </row>
    <row r="67" ht="12.75" customHeight="1"/>
    <row r="68" spans="1:11" ht="12.75" customHeight="1">
      <c r="A68" s="1" t="s">
        <v>0</v>
      </c>
      <c r="B68" s="134" t="s">
        <v>1</v>
      </c>
      <c r="C68" s="3" t="s">
        <v>2</v>
      </c>
      <c r="D68" s="4" t="s">
        <v>3</v>
      </c>
      <c r="E68" s="147" t="s">
        <v>4</v>
      </c>
      <c r="F68" s="16" t="s">
        <v>24</v>
      </c>
      <c r="G68" s="53"/>
      <c r="I68" t="s">
        <v>6</v>
      </c>
      <c r="J68" s="49">
        <v>0.0032766203703703707</v>
      </c>
      <c r="K68" s="161" t="s">
        <v>340</v>
      </c>
    </row>
    <row r="69" spans="1:10" ht="12.75" customHeight="1">
      <c r="A69" s="6">
        <v>1</v>
      </c>
      <c r="B69" s="138" t="s">
        <v>1407</v>
      </c>
      <c r="C69" s="8" t="str">
        <f aca="true" t="shared" si="18" ref="C69:C81">IF(OR($B69=0,$B69=""),"",VLOOKUP($B69,jg1500m,2,FALSE))</f>
        <v>Amy Young</v>
      </c>
      <c r="D69" s="8" t="str">
        <f aca="true" t="shared" si="19" ref="D69:D81">IF(OR($B69=0,$B69=""),"",VLOOKUP($B69,jg1500m,3,FALSE))</f>
        <v>BRK</v>
      </c>
      <c r="E69" s="149">
        <v>0.003421296296296296</v>
      </c>
      <c r="F69">
        <v>6</v>
      </c>
      <c r="G69" s="54">
        <f>IF(E69="","",IF(E69&gt;J68,"","CBP"))</f>
      </c>
      <c r="H69" s="54">
        <f>IF(E69="","",IF(E69&gt;J$69,"","ESQ"))</f>
      </c>
      <c r="I69" t="s">
        <v>26</v>
      </c>
      <c r="J69" s="49">
        <v>0.003368055555555555</v>
      </c>
    </row>
    <row r="70" spans="1:10" ht="12.75" customHeight="1">
      <c r="A70" s="6">
        <v>2</v>
      </c>
      <c r="B70" s="138">
        <v>3</v>
      </c>
      <c r="C70" s="8" t="str">
        <f t="shared" si="18"/>
        <v>Lucy Wells</v>
      </c>
      <c r="D70" s="8" t="str">
        <f t="shared" si="19"/>
        <v>WB</v>
      </c>
      <c r="E70" s="149">
        <v>0.0034328703703703704</v>
      </c>
      <c r="F70">
        <v>5</v>
      </c>
      <c r="H70" s="54">
        <f aca="true" t="shared" si="20" ref="H70:H80">IF(E70="","",IF(E70&gt;J$69,"","ESQ"))</f>
      </c>
      <c r="J70" s="12"/>
    </row>
    <row r="71" spans="1:10" ht="12.75" customHeight="1">
      <c r="A71" s="6">
        <v>3</v>
      </c>
      <c r="B71" s="145">
        <v>9</v>
      </c>
      <c r="C71" s="8" t="str">
        <f t="shared" si="18"/>
        <v>Eloisa Harris</v>
      </c>
      <c r="D71" s="8" t="str">
        <f t="shared" si="19"/>
        <v>W&amp;M</v>
      </c>
      <c r="E71" s="149">
        <v>0.0034976851851851853</v>
      </c>
      <c r="F71">
        <v>4</v>
      </c>
      <c r="H71" s="54">
        <f t="shared" si="20"/>
      </c>
      <c r="J71" s="12"/>
    </row>
    <row r="72" spans="1:10" ht="12.75" customHeight="1">
      <c r="A72" s="6">
        <v>4</v>
      </c>
      <c r="B72" s="141">
        <v>1</v>
      </c>
      <c r="C72" s="8" t="str">
        <f t="shared" si="18"/>
        <v>Jasmine Young</v>
      </c>
      <c r="D72" s="8" t="str">
        <f t="shared" si="19"/>
        <v>BRK</v>
      </c>
      <c r="E72" s="149">
        <v>0.003503472222222222</v>
      </c>
      <c r="F72">
        <v>3</v>
      </c>
      <c r="H72" s="54">
        <f t="shared" si="20"/>
      </c>
      <c r="J72" s="12"/>
    </row>
    <row r="73" spans="1:10" ht="12.75" customHeight="1">
      <c r="A73" s="6">
        <v>5</v>
      </c>
      <c r="B73" s="132">
        <v>5</v>
      </c>
      <c r="C73" s="8" t="str">
        <f t="shared" si="18"/>
        <v>Naomi Harris</v>
      </c>
      <c r="D73" s="8" t="str">
        <f t="shared" si="19"/>
        <v>RDG</v>
      </c>
      <c r="E73" s="149">
        <v>0.003519675925925926</v>
      </c>
      <c r="F73">
        <v>2</v>
      </c>
      <c r="H73" s="54">
        <f t="shared" si="20"/>
      </c>
      <c r="J73" s="12"/>
    </row>
    <row r="74" spans="1:10" ht="12.75" customHeight="1">
      <c r="A74" s="6">
        <v>6</v>
      </c>
      <c r="B74" s="145">
        <v>6</v>
      </c>
      <c r="C74" s="8" t="str">
        <f t="shared" si="18"/>
        <v>Nicola Lee</v>
      </c>
      <c r="D74" s="8" t="str">
        <f t="shared" si="19"/>
        <v>RDG</v>
      </c>
      <c r="E74" s="149">
        <v>0.0035335648148148145</v>
      </c>
      <c r="F74">
        <v>1</v>
      </c>
      <c r="H74" s="54">
        <f t="shared" si="20"/>
      </c>
      <c r="J74" s="12"/>
    </row>
    <row r="75" spans="1:8" ht="12.75" customHeight="1">
      <c r="A75" s="6">
        <v>7</v>
      </c>
      <c r="B75" s="146">
        <v>10</v>
      </c>
      <c r="C75" s="8" t="str">
        <f t="shared" si="18"/>
        <v>Hannah Read</v>
      </c>
      <c r="D75" s="8" t="str">
        <f t="shared" si="19"/>
        <v>W&amp;M</v>
      </c>
      <c r="E75" s="149">
        <v>0.0035740740740740737</v>
      </c>
      <c r="H75" s="54">
        <f t="shared" si="20"/>
      </c>
    </row>
    <row r="76" spans="1:8" ht="12.75" customHeight="1">
      <c r="A76" s="6">
        <v>8</v>
      </c>
      <c r="B76" s="146">
        <v>12</v>
      </c>
      <c r="C76" s="8" t="str">
        <f t="shared" si="18"/>
        <v>R Whalley</v>
      </c>
      <c r="D76" s="8" t="str">
        <f t="shared" si="19"/>
        <v>WOK</v>
      </c>
      <c r="E76" s="149">
        <v>0.0036793981481481482</v>
      </c>
      <c r="H76" s="54">
        <f t="shared" si="20"/>
      </c>
    </row>
    <row r="77" spans="1:8" ht="12.75" customHeight="1">
      <c r="A77" s="6">
        <v>9</v>
      </c>
      <c r="B77" s="146">
        <v>4</v>
      </c>
      <c r="C77" s="8" t="str">
        <f t="shared" si="18"/>
        <v>R Thomson</v>
      </c>
      <c r="D77" s="8" t="str">
        <f t="shared" si="19"/>
        <v>WB</v>
      </c>
      <c r="E77" s="149">
        <v>0.0037835648148148147</v>
      </c>
      <c r="H77" s="54">
        <f t="shared" si="20"/>
      </c>
    </row>
    <row r="78" spans="1:8" ht="12.75" customHeight="1">
      <c r="A78" s="6">
        <v>10</v>
      </c>
      <c r="B78" s="146">
        <v>2</v>
      </c>
      <c r="C78" s="8" t="str">
        <f t="shared" si="18"/>
        <v>C Connelly</v>
      </c>
      <c r="D78" s="8" t="str">
        <f t="shared" si="19"/>
        <v>BRK</v>
      </c>
      <c r="E78" s="149">
        <v>0.003916666666666666</v>
      </c>
      <c r="H78" s="54">
        <f t="shared" si="20"/>
      </c>
    </row>
    <row r="79" spans="1:8" ht="12.75" customHeight="1">
      <c r="A79" s="6">
        <v>11</v>
      </c>
      <c r="C79" s="8">
        <f t="shared" si="18"/>
      </c>
      <c r="D79" s="8">
        <f t="shared" si="19"/>
      </c>
      <c r="E79" s="150"/>
      <c r="H79" s="54">
        <f t="shared" si="20"/>
      </c>
    </row>
    <row r="80" spans="1:8" ht="12.75" customHeight="1">
      <c r="A80" s="6">
        <v>12</v>
      </c>
      <c r="C80" s="8">
        <f t="shared" si="18"/>
      </c>
      <c r="D80" s="8">
        <f t="shared" si="19"/>
      </c>
      <c r="E80" s="150"/>
      <c r="H80" s="54">
        <f t="shared" si="20"/>
      </c>
    </row>
    <row r="81" spans="3:4" ht="12.75" customHeight="1">
      <c r="C81" s="8">
        <f t="shared" si="18"/>
      </c>
      <c r="D81" s="8">
        <f t="shared" si="19"/>
      </c>
    </row>
    <row r="82" spans="3:4" ht="12.75" customHeight="1">
      <c r="C82" s="8"/>
      <c r="D82" s="8"/>
    </row>
    <row r="83" spans="1:10" ht="12.75" customHeight="1">
      <c r="A83" s="14" t="s">
        <v>239</v>
      </c>
      <c r="B83" s="143"/>
      <c r="C83" s="14"/>
      <c r="D83" s="14"/>
      <c r="E83" s="143"/>
      <c r="F83" s="14"/>
      <c r="G83" s="51"/>
      <c r="H83" s="51"/>
      <c r="I83" s="14"/>
      <c r="J83" s="14"/>
    </row>
    <row r="84" ht="12.75" customHeight="1"/>
    <row r="85" spans="1:11" ht="12.75" customHeight="1">
      <c r="A85" s="1" t="s">
        <v>0</v>
      </c>
      <c r="B85" s="134" t="s">
        <v>1</v>
      </c>
      <c r="C85" s="3" t="s">
        <v>2</v>
      </c>
      <c r="D85" s="4" t="s">
        <v>3</v>
      </c>
      <c r="E85" s="147" t="s">
        <v>4</v>
      </c>
      <c r="F85" s="16" t="s">
        <v>24</v>
      </c>
      <c r="G85" s="53"/>
      <c r="I85" t="s">
        <v>6</v>
      </c>
      <c r="J85" s="12">
        <v>11.5</v>
      </c>
      <c r="K85" s="158" t="s">
        <v>225</v>
      </c>
    </row>
    <row r="86" spans="1:10" ht="12.75" customHeight="1">
      <c r="A86" s="6">
        <v>1</v>
      </c>
      <c r="B86" s="138" t="s">
        <v>927</v>
      </c>
      <c r="C86" s="8" t="str">
        <f aca="true" t="shared" si="21" ref="C86:C92">IF(OR($B86=0,$B86=""),"",VLOOKUP($B86,jg75mh,2,FALSE))</f>
        <v>L Watkins</v>
      </c>
      <c r="D86" s="8" t="str">
        <f aca="true" t="shared" si="22" ref="D86:D92">IF(OR($B86=0,$B86=""),"",VLOOKUP($B86,jg75mh,3,FALSE))</f>
        <v>WOK</v>
      </c>
      <c r="E86" s="148">
        <v>11.8</v>
      </c>
      <c r="F86">
        <v>6</v>
      </c>
      <c r="G86" s="54">
        <f>IF(E86="","",IF(E86&gt;J85,"","CBP"))</f>
      </c>
      <c r="H86" s="54" t="str">
        <f aca="true" t="shared" si="23" ref="H86:H92">IF(E86="","",IF(E86&gt;J$86,"","ESQ"))</f>
        <v>ESQ</v>
      </c>
      <c r="I86" t="s">
        <v>26</v>
      </c>
      <c r="J86" s="12">
        <v>11.8</v>
      </c>
    </row>
    <row r="87" spans="1:10" ht="12.75" customHeight="1">
      <c r="A87" s="6">
        <v>2</v>
      </c>
      <c r="B87" s="138">
        <v>11</v>
      </c>
      <c r="C87" s="8" t="str">
        <f t="shared" si="21"/>
        <v>C Eames</v>
      </c>
      <c r="D87" s="8" t="str">
        <f t="shared" si="22"/>
        <v>WOK</v>
      </c>
      <c r="E87" s="148">
        <v>11.9</v>
      </c>
      <c r="F87">
        <v>5</v>
      </c>
      <c r="H87" s="54">
        <f t="shared" si="23"/>
      </c>
      <c r="J87" s="12"/>
    </row>
    <row r="88" spans="1:10" ht="12.75" customHeight="1">
      <c r="A88" s="6">
        <v>3</v>
      </c>
      <c r="B88" s="145">
        <v>2</v>
      </c>
      <c r="C88" s="8" t="str">
        <f t="shared" si="21"/>
        <v>H Savey-Bennett</v>
      </c>
      <c r="D88" s="8" t="str">
        <f t="shared" si="22"/>
        <v>BRK</v>
      </c>
      <c r="E88" s="148">
        <v>12.5</v>
      </c>
      <c r="F88">
        <v>4</v>
      </c>
      <c r="H88" s="54">
        <f t="shared" si="23"/>
      </c>
      <c r="J88" s="12"/>
    </row>
    <row r="89" spans="1:10" ht="12.75" customHeight="1">
      <c r="A89" s="6">
        <v>4</v>
      </c>
      <c r="B89" s="141">
        <v>12</v>
      </c>
      <c r="C89" s="8" t="str">
        <f t="shared" si="21"/>
        <v>E Pickford</v>
      </c>
      <c r="D89" s="8" t="str">
        <f t="shared" si="22"/>
        <v>WOK</v>
      </c>
      <c r="E89" s="148">
        <v>12.7</v>
      </c>
      <c r="F89">
        <v>3</v>
      </c>
      <c r="H89" s="54">
        <f t="shared" si="23"/>
      </c>
      <c r="J89" s="12"/>
    </row>
    <row r="90" spans="1:10" ht="12.75" customHeight="1">
      <c r="A90" s="6">
        <v>5</v>
      </c>
      <c r="B90" s="132">
        <v>3</v>
      </c>
      <c r="C90" s="8" t="str">
        <f t="shared" si="21"/>
        <v>A Hamilton</v>
      </c>
      <c r="D90" s="8" t="str">
        <f t="shared" si="22"/>
        <v>WB</v>
      </c>
      <c r="E90" s="148">
        <v>12.8</v>
      </c>
      <c r="F90">
        <v>2</v>
      </c>
      <c r="H90" s="54">
        <f t="shared" si="23"/>
      </c>
      <c r="J90" s="12"/>
    </row>
    <row r="91" spans="1:10" ht="12.75" customHeight="1">
      <c r="A91" s="6">
        <v>6</v>
      </c>
      <c r="B91" s="145">
        <v>1</v>
      </c>
      <c r="C91" s="8" t="str">
        <f t="shared" si="21"/>
        <v>A McArthur</v>
      </c>
      <c r="D91" s="8" t="str">
        <f t="shared" si="22"/>
        <v>BRK</v>
      </c>
      <c r="E91" s="148">
        <v>12.9</v>
      </c>
      <c r="F91">
        <v>1</v>
      </c>
      <c r="H91" s="54">
        <f t="shared" si="23"/>
      </c>
      <c r="J91" s="12"/>
    </row>
    <row r="92" spans="1:8" ht="12.75" customHeight="1">
      <c r="A92" s="6">
        <v>7</v>
      </c>
      <c r="B92" s="301"/>
      <c r="C92" s="8">
        <f t="shared" si="21"/>
      </c>
      <c r="D92" s="8">
        <f t="shared" si="22"/>
      </c>
      <c r="H92" s="54">
        <f t="shared" si="23"/>
      </c>
    </row>
    <row r="93" spans="1:18" s="14" customFormat="1" ht="12.75" customHeight="1">
      <c r="A93" s="14" t="s">
        <v>241</v>
      </c>
      <c r="B93" s="143"/>
      <c r="E93" s="143"/>
      <c r="G93" s="51"/>
      <c r="H93" s="51"/>
      <c r="K93" s="160"/>
      <c r="Q93" s="51"/>
      <c r="R93" s="51"/>
    </row>
    <row r="94" ht="12.75" customHeight="1">
      <c r="A94" t="s">
        <v>32</v>
      </c>
    </row>
    <row r="95" spans="1:11" ht="12.75" customHeight="1">
      <c r="A95" s="1" t="s">
        <v>0</v>
      </c>
      <c r="B95" s="134" t="s">
        <v>1</v>
      </c>
      <c r="C95" s="3" t="s">
        <v>2</v>
      </c>
      <c r="D95" s="4" t="s">
        <v>3</v>
      </c>
      <c r="E95" s="147" t="s">
        <v>4</v>
      </c>
      <c r="F95" s="16" t="s">
        <v>114</v>
      </c>
      <c r="G95" s="53"/>
      <c r="I95" t="s">
        <v>6</v>
      </c>
      <c r="J95" s="12">
        <v>25.1</v>
      </c>
      <c r="K95" s="161" t="s">
        <v>242</v>
      </c>
    </row>
    <row r="96" spans="1:10" ht="12.75" customHeight="1">
      <c r="A96" s="6">
        <v>1</v>
      </c>
      <c r="B96" s="138">
        <v>1</v>
      </c>
      <c r="C96" s="8" t="str">
        <f aca="true" t="shared" si="24" ref="C96:C101">IF(OR($B96=0,$B96=""),"",VLOOKUP($B96,jg200m,2,FALSE))</f>
        <v>E Morris</v>
      </c>
      <c r="D96" s="8" t="str">
        <f aca="true" t="shared" si="25" ref="D96:D101">IF(OR($B96=0,$B96=""),"",VLOOKUP($B96,jg200m,3,FALSE))</f>
        <v>BRK</v>
      </c>
      <c r="E96" s="148">
        <v>27.1</v>
      </c>
      <c r="F96" s="42" t="s">
        <v>123</v>
      </c>
      <c r="G96" s="54">
        <f>IF(E96="","",IF(E96&gt;J95,"","CBP"))</f>
      </c>
      <c r="H96" s="54">
        <f aca="true" t="shared" si="26" ref="H96:H101">IF(E96="","",IF(E96&gt;J$96,"","ESQ"))</f>
      </c>
      <c r="I96" t="s">
        <v>26</v>
      </c>
      <c r="J96" s="12">
        <v>26.4</v>
      </c>
    </row>
    <row r="97" spans="1:10" ht="12.75" customHeight="1">
      <c r="A97" s="6">
        <v>2</v>
      </c>
      <c r="B97" s="138">
        <v>8</v>
      </c>
      <c r="C97" s="8" t="str">
        <f t="shared" si="24"/>
        <v>Ashonte Ferguson</v>
      </c>
      <c r="D97" s="8" t="str">
        <f t="shared" si="25"/>
        <v>SL</v>
      </c>
      <c r="E97" s="148">
        <v>28.3</v>
      </c>
      <c r="F97" s="42" t="s">
        <v>123</v>
      </c>
      <c r="H97" s="54">
        <f t="shared" si="26"/>
      </c>
      <c r="J97" s="12"/>
    </row>
    <row r="98" spans="1:10" ht="12.75" customHeight="1">
      <c r="A98" s="6">
        <v>3</v>
      </c>
      <c r="B98" s="145">
        <v>11</v>
      </c>
      <c r="C98" s="8" t="str">
        <f t="shared" si="24"/>
        <v>E Johnson</v>
      </c>
      <c r="D98" s="8" t="str">
        <f t="shared" si="25"/>
        <v>WOK</v>
      </c>
      <c r="E98" s="148">
        <v>28.3</v>
      </c>
      <c r="F98" s="42" t="s">
        <v>123</v>
      </c>
      <c r="G98" s="55"/>
      <c r="H98" s="54">
        <f t="shared" si="26"/>
      </c>
      <c r="J98" s="12"/>
    </row>
    <row r="99" spans="1:10" ht="12.75" customHeight="1">
      <c r="A99" s="6">
        <v>4</v>
      </c>
      <c r="B99" s="141">
        <v>5</v>
      </c>
      <c r="C99" s="8" t="str">
        <f t="shared" si="24"/>
        <v>Leila Lister</v>
      </c>
      <c r="D99" s="8" t="str">
        <f t="shared" si="25"/>
        <v>RDG</v>
      </c>
      <c r="E99" s="148">
        <v>29.3</v>
      </c>
      <c r="F99" s="42" t="s">
        <v>123</v>
      </c>
      <c r="G99" s="55"/>
      <c r="H99" s="54">
        <f t="shared" si="26"/>
      </c>
      <c r="J99" s="12"/>
    </row>
    <row r="100" spans="1:10" ht="12.75" customHeight="1">
      <c r="A100" s="6">
        <v>5</v>
      </c>
      <c r="B100" s="132">
        <v>10</v>
      </c>
      <c r="C100" s="8" t="str">
        <f t="shared" si="24"/>
        <v>Caitlin Woollaston</v>
      </c>
      <c r="D100" s="8" t="str">
        <f t="shared" si="25"/>
        <v>W&amp;M</v>
      </c>
      <c r="E100" s="148">
        <v>29.6</v>
      </c>
      <c r="H100" s="54">
        <f t="shared" si="26"/>
      </c>
      <c r="J100" s="12"/>
    </row>
    <row r="101" spans="1:10" ht="12.75" customHeight="1">
      <c r="A101" s="6">
        <v>6</v>
      </c>
      <c r="B101" s="145">
        <v>4</v>
      </c>
      <c r="C101" s="8" t="str">
        <f t="shared" si="24"/>
        <v>Georgia Jones</v>
      </c>
      <c r="D101" s="8" t="str">
        <f t="shared" si="25"/>
        <v>WB</v>
      </c>
      <c r="E101" s="148">
        <v>31.2</v>
      </c>
      <c r="H101" s="54">
        <f t="shared" si="26"/>
      </c>
      <c r="J101" s="12"/>
    </row>
    <row r="102" spans="1:18" ht="12.75" customHeight="1">
      <c r="A102" t="s">
        <v>33</v>
      </c>
      <c r="B102"/>
      <c r="E102"/>
      <c r="J102" s="12"/>
      <c r="K102" s="158"/>
      <c r="L102" s="10"/>
      <c r="M102" s="8"/>
      <c r="N102" s="8"/>
      <c r="O102" s="9"/>
      <c r="R102" s="54"/>
    </row>
    <row r="103" spans="1:18" ht="12.75" customHeight="1">
      <c r="A103" s="1" t="s">
        <v>0</v>
      </c>
      <c r="B103" s="2" t="s">
        <v>1</v>
      </c>
      <c r="C103" s="3" t="s">
        <v>2</v>
      </c>
      <c r="D103" s="4" t="s">
        <v>3</v>
      </c>
      <c r="E103" s="5" t="s">
        <v>4</v>
      </c>
      <c r="F103" s="16" t="s">
        <v>114</v>
      </c>
      <c r="J103" s="12"/>
      <c r="K103" s="158"/>
      <c r="L103" s="10"/>
      <c r="M103" s="8"/>
      <c r="N103" s="8"/>
      <c r="O103" s="9"/>
      <c r="R103" s="54"/>
    </row>
    <row r="104" spans="1:18" ht="12.75" customHeight="1">
      <c r="A104" s="6">
        <v>1</v>
      </c>
      <c r="B104" s="7">
        <v>9</v>
      </c>
      <c r="C104" s="8" t="str">
        <f aca="true" t="shared" si="27" ref="C104:C109">IF(OR($B104=0,$B104=""),"",VLOOKUP($B104,jg200m,2,FALSE))</f>
        <v>Matilda Robinson</v>
      </c>
      <c r="D104" s="8" t="str">
        <f aca="true" t="shared" si="28" ref="D104:D109">IF(OR($B104=0,$B104=""),"",VLOOKUP($B104,jg200m,3,FALSE))</f>
        <v>W&amp;M</v>
      </c>
      <c r="E104" s="9">
        <v>27.5</v>
      </c>
      <c r="F104" s="42" t="s">
        <v>123</v>
      </c>
      <c r="G104" s="54">
        <f>IF(E104="","",IF(E104&gt;J95,"","CBP"))</f>
      </c>
      <c r="H104" s="54">
        <f aca="true" t="shared" si="29" ref="H104:H109">IF(E104="","",IF(E104&gt;J$96,"","ESQ"))</f>
      </c>
      <c r="J104" s="12"/>
      <c r="K104" s="158"/>
      <c r="L104" s="10"/>
      <c r="M104" s="8"/>
      <c r="N104" s="8"/>
      <c r="O104" s="9"/>
      <c r="R104" s="54"/>
    </row>
    <row r="105" spans="1:18" ht="12.75" customHeight="1">
      <c r="A105" s="6">
        <v>2</v>
      </c>
      <c r="B105" s="7">
        <v>12</v>
      </c>
      <c r="C105" s="8" t="str">
        <f t="shared" si="27"/>
        <v>H Stone</v>
      </c>
      <c r="D105" s="8" t="str">
        <f t="shared" si="28"/>
        <v>WOK</v>
      </c>
      <c r="E105" s="9">
        <v>28.3</v>
      </c>
      <c r="F105" s="42" t="s">
        <v>123</v>
      </c>
      <c r="H105" s="54">
        <f t="shared" si="29"/>
      </c>
      <c r="J105" s="12"/>
      <c r="K105" s="158"/>
      <c r="L105" s="10"/>
      <c r="M105" s="8"/>
      <c r="N105" s="8"/>
      <c r="O105" s="9"/>
      <c r="R105" s="54"/>
    </row>
    <row r="106" spans="1:18" ht="12.75" customHeight="1">
      <c r="A106" s="6">
        <v>3</v>
      </c>
      <c r="B106" s="10">
        <v>3</v>
      </c>
      <c r="C106" s="8" t="str">
        <f t="shared" si="27"/>
        <v>C Collins</v>
      </c>
      <c r="D106" s="8" t="str">
        <f t="shared" si="28"/>
        <v>WB</v>
      </c>
      <c r="E106" s="9">
        <v>30.2</v>
      </c>
      <c r="F106" s="42"/>
      <c r="H106" s="54">
        <f t="shared" si="29"/>
      </c>
      <c r="J106" s="12"/>
      <c r="K106" s="158"/>
      <c r="L106" s="10"/>
      <c r="M106" s="8"/>
      <c r="N106" s="8"/>
      <c r="O106" s="9"/>
      <c r="R106" s="54"/>
    </row>
    <row r="107" spans="1:18" ht="12.75" customHeight="1">
      <c r="A107" s="6">
        <v>4</v>
      </c>
      <c r="B107" s="11">
        <v>6</v>
      </c>
      <c r="C107" s="8" t="str">
        <f t="shared" si="27"/>
        <v>Amelia Clark</v>
      </c>
      <c r="D107" s="8" t="str">
        <f t="shared" si="28"/>
        <v>RDG</v>
      </c>
      <c r="E107" s="9">
        <v>30.7</v>
      </c>
      <c r="H107" s="54">
        <f t="shared" si="29"/>
      </c>
      <c r="J107" s="12"/>
      <c r="K107" s="158"/>
      <c r="L107" s="10"/>
      <c r="M107" s="8"/>
      <c r="N107" s="8"/>
      <c r="O107" s="9"/>
      <c r="R107" s="54"/>
    </row>
    <row r="108" spans="1:18" ht="12.75" customHeight="1">
      <c r="A108" s="6">
        <v>5</v>
      </c>
      <c r="B108" s="6"/>
      <c r="C108" s="8">
        <f t="shared" si="27"/>
      </c>
      <c r="D108" s="8">
        <f t="shared" si="28"/>
      </c>
      <c r="E108" s="9"/>
      <c r="H108" s="54">
        <f t="shared" si="29"/>
      </c>
      <c r="J108" s="12"/>
      <c r="K108" s="158"/>
      <c r="L108" s="10"/>
      <c r="M108" s="8"/>
      <c r="N108" s="8"/>
      <c r="O108" s="9"/>
      <c r="R108" s="54"/>
    </row>
    <row r="109" spans="1:18" ht="12.75" customHeight="1">
      <c r="A109" s="6">
        <v>6</v>
      </c>
      <c r="B109" s="10"/>
      <c r="C109" s="8">
        <f t="shared" si="27"/>
      </c>
      <c r="D109" s="8">
        <f t="shared" si="28"/>
      </c>
      <c r="E109" s="9"/>
      <c r="H109" s="54">
        <f t="shared" si="29"/>
      </c>
      <c r="J109" s="12"/>
      <c r="K109" s="158"/>
      <c r="L109" s="10"/>
      <c r="M109" s="8"/>
      <c r="N109" s="8"/>
      <c r="O109" s="9"/>
      <c r="R109" s="54"/>
    </row>
    <row r="110" spans="1:18" ht="12.75" customHeight="1">
      <c r="A110" s="6"/>
      <c r="B110" s="145"/>
      <c r="C110" s="8"/>
      <c r="D110" s="8"/>
      <c r="E110" s="148"/>
      <c r="H110" s="54"/>
      <c r="J110" s="12"/>
      <c r="K110" s="158"/>
      <c r="L110" s="10"/>
      <c r="M110" s="8"/>
      <c r="N110" s="8"/>
      <c r="O110" s="9"/>
      <c r="R110" s="54"/>
    </row>
    <row r="111" spans="1:18" ht="12.75" customHeight="1">
      <c r="A111" s="6"/>
      <c r="B111" s="145"/>
      <c r="C111" s="8"/>
      <c r="D111" s="8"/>
      <c r="E111" s="148"/>
      <c r="H111" s="54"/>
      <c r="J111" s="12"/>
      <c r="K111" s="158"/>
      <c r="L111" s="10"/>
      <c r="M111" s="8"/>
      <c r="N111" s="8"/>
      <c r="O111" s="9"/>
      <c r="R111" s="54"/>
    </row>
    <row r="112" ht="12.75" customHeight="1"/>
    <row r="113" spans="1:10" ht="12.75" customHeight="1">
      <c r="A113" s="14" t="s">
        <v>262</v>
      </c>
      <c r="B113" s="143"/>
      <c r="C113" s="14"/>
      <c r="D113" s="14"/>
      <c r="E113" s="143"/>
      <c r="F113" s="14"/>
      <c r="G113" s="51"/>
      <c r="H113" s="51"/>
      <c r="I113" s="14"/>
      <c r="J113" s="14"/>
    </row>
    <row r="114" ht="12.75" customHeight="1"/>
    <row r="115" spans="1:11" ht="12.75" customHeight="1">
      <c r="A115" s="1" t="s">
        <v>0</v>
      </c>
      <c r="B115" s="134" t="s">
        <v>1</v>
      </c>
      <c r="C115" s="3" t="s">
        <v>2</v>
      </c>
      <c r="D115" s="4" t="s">
        <v>3</v>
      </c>
      <c r="E115" s="147" t="s">
        <v>4</v>
      </c>
      <c r="F115" s="16" t="s">
        <v>24</v>
      </c>
      <c r="G115" s="53"/>
      <c r="I115" t="s">
        <v>6</v>
      </c>
      <c r="J115" s="12">
        <v>25.1</v>
      </c>
      <c r="K115" s="161" t="s">
        <v>242</v>
      </c>
    </row>
    <row r="116" spans="1:10" ht="12.75" customHeight="1">
      <c r="A116" s="6">
        <v>1</v>
      </c>
      <c r="B116" s="138">
        <v>1</v>
      </c>
      <c r="C116" s="8" t="str">
        <f aca="true" t="shared" si="30" ref="C116:C121">IF(OR($B116=0,$B116=""),"",VLOOKUP($B116,jg200m,2,FALSE))</f>
        <v>E Morris</v>
      </c>
      <c r="D116" s="8" t="str">
        <f aca="true" t="shared" si="31" ref="D116:D121">IF(OR($B116=0,$B116=""),"",VLOOKUP($B116,jg200m,3,FALSE))</f>
        <v>BRK</v>
      </c>
      <c r="E116" s="148">
        <v>26.3</v>
      </c>
      <c r="F116">
        <v>6</v>
      </c>
      <c r="G116" s="54">
        <f>IF(E116="","",IF(E116&gt;J115,"","CBP"))</f>
      </c>
      <c r="H116" s="54" t="str">
        <f aca="true" t="shared" si="32" ref="H116:H121">IF(E116="","",IF(E116&gt;J$116,"","ESQ"))</f>
        <v>ESQ</v>
      </c>
      <c r="I116" t="s">
        <v>26</v>
      </c>
      <c r="J116" s="12">
        <v>26.4</v>
      </c>
    </row>
    <row r="117" spans="1:10" ht="12.75" customHeight="1">
      <c r="A117" s="6">
        <v>2</v>
      </c>
      <c r="B117" s="138">
        <v>9</v>
      </c>
      <c r="C117" s="8" t="str">
        <f t="shared" si="30"/>
        <v>Matilda Robinson</v>
      </c>
      <c r="D117" s="8" t="str">
        <f t="shared" si="31"/>
        <v>W&amp;M</v>
      </c>
      <c r="E117" s="148">
        <v>26.6</v>
      </c>
      <c r="F117">
        <v>5</v>
      </c>
      <c r="H117" s="54">
        <f t="shared" si="32"/>
      </c>
      <c r="J117" s="12"/>
    </row>
    <row r="118" spans="1:10" ht="12.75" customHeight="1">
      <c r="A118" s="6">
        <v>3</v>
      </c>
      <c r="B118" s="145">
        <v>8</v>
      </c>
      <c r="C118" s="8" t="str">
        <f t="shared" si="30"/>
        <v>Ashonte Ferguson</v>
      </c>
      <c r="D118" s="8" t="str">
        <f t="shared" si="31"/>
        <v>SL</v>
      </c>
      <c r="E118" s="148">
        <v>27.7</v>
      </c>
      <c r="F118">
        <v>4</v>
      </c>
      <c r="H118" s="54">
        <f t="shared" si="32"/>
      </c>
      <c r="J118" s="12"/>
    </row>
    <row r="119" spans="1:10" ht="12.75" customHeight="1">
      <c r="A119" s="6">
        <v>4</v>
      </c>
      <c r="B119" s="141">
        <v>12</v>
      </c>
      <c r="C119" s="8" t="str">
        <f t="shared" si="30"/>
        <v>H Stone</v>
      </c>
      <c r="D119" s="8" t="str">
        <f t="shared" si="31"/>
        <v>WOK</v>
      </c>
      <c r="E119" s="148">
        <v>27.9</v>
      </c>
      <c r="F119">
        <v>3</v>
      </c>
      <c r="H119" s="54">
        <f t="shared" si="32"/>
      </c>
      <c r="J119" s="12"/>
    </row>
    <row r="120" spans="1:10" ht="12.75" customHeight="1">
      <c r="A120" s="6">
        <v>5</v>
      </c>
      <c r="B120" s="132">
        <v>11</v>
      </c>
      <c r="C120" s="8" t="str">
        <f t="shared" si="30"/>
        <v>E Johnson</v>
      </c>
      <c r="D120" s="8" t="str">
        <f t="shared" si="31"/>
        <v>WOK</v>
      </c>
      <c r="E120" s="148">
        <v>28.2</v>
      </c>
      <c r="F120">
        <v>2</v>
      </c>
      <c r="H120" s="54">
        <f t="shared" si="32"/>
      </c>
      <c r="J120" s="12"/>
    </row>
    <row r="121" spans="1:10" ht="12.75" customHeight="1">
      <c r="A121" s="6">
        <v>6</v>
      </c>
      <c r="B121" s="145">
        <v>5</v>
      </c>
      <c r="C121" s="8" t="str">
        <f t="shared" si="30"/>
        <v>Leila Lister</v>
      </c>
      <c r="D121" s="8" t="str">
        <f t="shared" si="31"/>
        <v>RDG</v>
      </c>
      <c r="E121" s="148">
        <v>28.5</v>
      </c>
      <c r="F121">
        <v>1</v>
      </c>
      <c r="H121" s="54">
        <f t="shared" si="32"/>
      </c>
      <c r="J121" s="12"/>
    </row>
    <row r="122" spans="1:10" ht="12.75" customHeight="1">
      <c r="A122" s="6"/>
      <c r="B122" s="145"/>
      <c r="C122" s="8"/>
      <c r="D122" s="8"/>
      <c r="E122" s="148"/>
      <c r="H122" s="54"/>
      <c r="J122" s="12"/>
    </row>
    <row r="123" spans="1:18" s="14" customFormat="1" ht="12.75" customHeight="1">
      <c r="A123" s="14" t="s">
        <v>45</v>
      </c>
      <c r="B123" s="143"/>
      <c r="E123" s="143"/>
      <c r="G123" s="51"/>
      <c r="H123" s="51"/>
      <c r="K123" s="160"/>
      <c r="Q123" s="51"/>
      <c r="R123" s="51"/>
    </row>
    <row r="124" ht="12.75" customHeight="1"/>
    <row r="125" spans="1:10" ht="12.75" customHeight="1">
      <c r="A125" s="14" t="s">
        <v>49</v>
      </c>
      <c r="B125" s="143"/>
      <c r="C125" s="14"/>
      <c r="D125" s="14"/>
      <c r="E125" s="143"/>
      <c r="F125" s="14"/>
      <c r="G125" s="51"/>
      <c r="H125" s="51"/>
      <c r="I125" s="14"/>
      <c r="J125" s="14"/>
    </row>
    <row r="126" ht="12.75" customHeight="1"/>
    <row r="127" spans="1:11" ht="12.75" customHeight="1">
      <c r="A127" s="1" t="s">
        <v>0</v>
      </c>
      <c r="B127" s="134" t="s">
        <v>1</v>
      </c>
      <c r="C127" s="3" t="s">
        <v>2</v>
      </c>
      <c r="D127" s="4" t="s">
        <v>3</v>
      </c>
      <c r="E127" s="147" t="s">
        <v>4</v>
      </c>
      <c r="F127" s="16" t="s">
        <v>24</v>
      </c>
      <c r="G127" s="53"/>
      <c r="I127" t="s">
        <v>6</v>
      </c>
      <c r="J127" s="17">
        <v>5.43</v>
      </c>
      <c r="K127" s="161" t="s">
        <v>280</v>
      </c>
    </row>
    <row r="128" spans="1:10" ht="12.75" customHeight="1">
      <c r="A128" s="6">
        <v>1</v>
      </c>
      <c r="B128" s="138">
        <v>9</v>
      </c>
      <c r="C128" s="8" t="str">
        <f aca="true" t="shared" si="33" ref="C128:C139">IF(OR($B128=0,$B128=""),"",VLOOKUP($B128,jglj,2,FALSE))</f>
        <v>Rachel Okoro</v>
      </c>
      <c r="D128" s="8" t="str">
        <f aca="true" t="shared" si="34" ref="D128:D139">IF(OR($B128=0,$B128=""),"",VLOOKUP($B128,jglj,3,FALSE))</f>
        <v>W&amp;M</v>
      </c>
      <c r="E128" s="151">
        <v>4.97</v>
      </c>
      <c r="F128">
        <v>6</v>
      </c>
      <c r="G128" s="54">
        <f>IF(E128="","",IF(E128&lt;J127,"","CBP"))</f>
      </c>
      <c r="H128" s="54">
        <f aca="true" t="shared" si="35" ref="H128:H137">IF(E128="","",IF(E128&lt;J$128,"","ESQ"))</f>
      </c>
      <c r="I128" t="s">
        <v>26</v>
      </c>
      <c r="J128" s="17">
        <v>5.05</v>
      </c>
    </row>
    <row r="129" spans="1:10" ht="12.75" customHeight="1">
      <c r="A129" s="6">
        <v>2</v>
      </c>
      <c r="B129" s="138">
        <v>3</v>
      </c>
      <c r="C129" s="8" t="str">
        <f t="shared" si="33"/>
        <v>A Montague</v>
      </c>
      <c r="D129" s="8" t="str">
        <f t="shared" si="34"/>
        <v>WB</v>
      </c>
      <c r="E129" s="151">
        <v>4.7</v>
      </c>
      <c r="F129">
        <v>5</v>
      </c>
      <c r="H129" s="54">
        <f t="shared" si="35"/>
      </c>
      <c r="J129" s="12"/>
    </row>
    <row r="130" spans="1:10" ht="12.75" customHeight="1">
      <c r="A130" s="6">
        <v>3</v>
      </c>
      <c r="B130" s="145">
        <v>2</v>
      </c>
      <c r="C130" s="8" t="str">
        <f t="shared" si="33"/>
        <v>L Griffiths</v>
      </c>
      <c r="D130" s="8" t="str">
        <f t="shared" si="34"/>
        <v>BRK</v>
      </c>
      <c r="E130" s="151">
        <v>4.58</v>
      </c>
      <c r="F130">
        <v>4</v>
      </c>
      <c r="H130" s="54">
        <f t="shared" si="35"/>
      </c>
      <c r="J130" s="12"/>
    </row>
    <row r="131" spans="1:10" ht="12.75" customHeight="1">
      <c r="A131" s="6">
        <v>4</v>
      </c>
      <c r="B131" s="141">
        <v>1</v>
      </c>
      <c r="C131" s="8" t="str">
        <f t="shared" si="33"/>
        <v>J Hugh-Smith</v>
      </c>
      <c r="D131" s="8" t="str">
        <f t="shared" si="34"/>
        <v>BRK</v>
      </c>
      <c r="E131" s="151">
        <v>4.38</v>
      </c>
      <c r="F131">
        <v>3</v>
      </c>
      <c r="H131" s="54">
        <f t="shared" si="35"/>
      </c>
      <c r="J131" s="12"/>
    </row>
    <row r="132" spans="1:10" ht="12.75" customHeight="1">
      <c r="A132" s="6">
        <v>5</v>
      </c>
      <c r="B132" s="132">
        <v>11</v>
      </c>
      <c r="C132" s="8" t="str">
        <f t="shared" si="33"/>
        <v>K Treglown</v>
      </c>
      <c r="D132" s="8" t="str">
        <f t="shared" si="34"/>
        <v>WOK</v>
      </c>
      <c r="E132" s="151">
        <v>4.29</v>
      </c>
      <c r="F132">
        <v>2</v>
      </c>
      <c r="H132" s="54">
        <f t="shared" si="35"/>
      </c>
      <c r="J132" s="12"/>
    </row>
    <row r="133" spans="1:10" ht="12.75" customHeight="1">
      <c r="A133" s="6">
        <v>6</v>
      </c>
      <c r="B133" s="145">
        <v>5</v>
      </c>
      <c r="C133" s="8" t="str">
        <f t="shared" si="33"/>
        <v>Amelia Hanson</v>
      </c>
      <c r="D133" s="8" t="str">
        <f t="shared" si="34"/>
        <v>RDG</v>
      </c>
      <c r="E133" s="151">
        <v>4.26</v>
      </c>
      <c r="F133">
        <v>1</v>
      </c>
      <c r="H133" s="54">
        <f t="shared" si="35"/>
      </c>
      <c r="J133" s="12"/>
    </row>
    <row r="134" spans="1:8" ht="12.75" customHeight="1">
      <c r="A134" s="6">
        <v>7</v>
      </c>
      <c r="B134" s="146">
        <v>6</v>
      </c>
      <c r="C134" s="8" t="str">
        <f t="shared" si="33"/>
        <v>Lizzie Freeney</v>
      </c>
      <c r="D134" s="8" t="str">
        <f t="shared" si="34"/>
        <v>RDG</v>
      </c>
      <c r="E134" s="152">
        <v>3.92</v>
      </c>
      <c r="H134" s="52">
        <f t="shared" si="35"/>
      </c>
    </row>
    <row r="135" spans="1:8" ht="12.75" customHeight="1">
      <c r="A135" s="6">
        <v>8</v>
      </c>
      <c r="B135" s="146">
        <v>12</v>
      </c>
      <c r="C135" s="8" t="str">
        <f t="shared" si="33"/>
        <v>E Vokes</v>
      </c>
      <c r="D135" s="8" t="str">
        <f t="shared" si="34"/>
        <v>WOK</v>
      </c>
      <c r="E135" s="152">
        <v>3.83</v>
      </c>
      <c r="H135" s="52">
        <f t="shared" si="35"/>
      </c>
    </row>
    <row r="136" spans="1:8" ht="12.75" customHeight="1">
      <c r="A136" s="6">
        <v>9</v>
      </c>
      <c r="B136" s="146">
        <v>4</v>
      </c>
      <c r="C136" s="8" t="str">
        <f t="shared" si="33"/>
        <v>A Brader</v>
      </c>
      <c r="D136" s="8" t="str">
        <f t="shared" si="34"/>
        <v>WB</v>
      </c>
      <c r="E136" s="152">
        <v>3.8</v>
      </c>
      <c r="H136" s="52">
        <f t="shared" si="35"/>
      </c>
    </row>
    <row r="137" spans="1:8" ht="12.75" customHeight="1">
      <c r="A137" s="6">
        <v>10</v>
      </c>
      <c r="B137" s="301">
        <v>10</v>
      </c>
      <c r="C137" s="8" t="str">
        <f t="shared" si="33"/>
        <v>Ella Jacobs</v>
      </c>
      <c r="D137" s="8" t="str">
        <f t="shared" si="34"/>
        <v>W&amp;M</v>
      </c>
      <c r="E137" s="152">
        <v>3.63</v>
      </c>
      <c r="H137" s="52">
        <f t="shared" si="35"/>
      </c>
    </row>
    <row r="138" spans="1:5" ht="12.75" customHeight="1">
      <c r="A138" s="6">
        <v>11</v>
      </c>
      <c r="C138" s="8">
        <f t="shared" si="33"/>
      </c>
      <c r="D138" s="8">
        <f t="shared" si="34"/>
      </c>
      <c r="E138" s="152"/>
    </row>
    <row r="139" spans="1:5" ht="12.75" customHeight="1">
      <c r="A139" s="6">
        <v>12</v>
      </c>
      <c r="C139" s="8">
        <f t="shared" si="33"/>
      </c>
      <c r="D139" s="8">
        <f t="shared" si="34"/>
      </c>
      <c r="E139" s="152"/>
    </row>
    <row r="140" ht="12.75" customHeight="1"/>
    <row r="141" spans="1:10" ht="12.75" customHeight="1">
      <c r="A141" s="14" t="s">
        <v>50</v>
      </c>
      <c r="B141" s="143"/>
      <c r="C141" s="14"/>
      <c r="D141" s="14"/>
      <c r="E141" s="143"/>
      <c r="F141" s="14"/>
      <c r="G141" s="51"/>
      <c r="H141" s="51"/>
      <c r="I141" s="14"/>
      <c r="J141" s="14"/>
    </row>
    <row r="142" ht="12.75" customHeight="1"/>
    <row r="143" spans="1:11" ht="12.75" customHeight="1">
      <c r="A143" s="1" t="s">
        <v>0</v>
      </c>
      <c r="B143" s="134" t="s">
        <v>1</v>
      </c>
      <c r="C143" s="3" t="s">
        <v>2</v>
      </c>
      <c r="D143" s="4" t="s">
        <v>3</v>
      </c>
      <c r="E143" s="147" t="s">
        <v>4</v>
      </c>
      <c r="F143" s="16" t="s">
        <v>24</v>
      </c>
      <c r="G143" s="53"/>
      <c r="I143" t="s">
        <v>6</v>
      </c>
      <c r="J143" s="17">
        <v>38.18</v>
      </c>
      <c r="K143" s="161" t="s">
        <v>281</v>
      </c>
    </row>
    <row r="144" spans="1:10" ht="12.75" customHeight="1">
      <c r="A144" s="6">
        <v>1</v>
      </c>
      <c r="B144" s="138">
        <v>6</v>
      </c>
      <c r="C144" s="8" t="str">
        <f aca="true" t="shared" si="36" ref="C144:C155">IF(OR($B144=0,$B144=""),"",VLOOKUP($B144,jgdt,2,FALSE))</f>
        <v>Anjelina Manase</v>
      </c>
      <c r="D144" s="8" t="str">
        <f aca="true" t="shared" si="37" ref="D144:D155">IF(OR($B144=0,$B144=""),"",VLOOKUP($B144,jgdt,3,FALSE))</f>
        <v>RDG</v>
      </c>
      <c r="E144" s="151">
        <v>30.1</v>
      </c>
      <c r="F144">
        <v>6</v>
      </c>
      <c r="G144" s="54">
        <f>IF(E144="","",IF(E144&lt;J143,"","CBP"))</f>
      </c>
      <c r="H144" s="54" t="str">
        <f aca="true" t="shared" si="38" ref="H144:H153">IF(E144="","",IF(E144&lt;J$144,"","ESQ"))</f>
        <v>ESQ</v>
      </c>
      <c r="I144" t="s">
        <v>26</v>
      </c>
      <c r="J144" s="17">
        <v>27</v>
      </c>
    </row>
    <row r="145" spans="1:10" ht="12.75" customHeight="1">
      <c r="A145" s="6">
        <v>2</v>
      </c>
      <c r="B145" s="138">
        <v>5</v>
      </c>
      <c r="C145" s="8" t="str">
        <f t="shared" si="36"/>
        <v>Zoe Obamakinwa</v>
      </c>
      <c r="D145" s="8" t="str">
        <f t="shared" si="37"/>
        <v>RDG</v>
      </c>
      <c r="E145" s="151">
        <v>30.07</v>
      </c>
      <c r="F145">
        <v>5</v>
      </c>
      <c r="H145" s="54" t="str">
        <f t="shared" si="38"/>
        <v>ESQ</v>
      </c>
      <c r="J145" s="12"/>
    </row>
    <row r="146" spans="1:10" ht="12.75" customHeight="1">
      <c r="A146" s="6">
        <v>3</v>
      </c>
      <c r="B146" s="145">
        <v>3</v>
      </c>
      <c r="C146" s="8" t="str">
        <f t="shared" si="36"/>
        <v>S Wheadon</v>
      </c>
      <c r="D146" s="8" t="str">
        <f t="shared" si="37"/>
        <v>WB</v>
      </c>
      <c r="E146" s="151">
        <v>25.23</v>
      </c>
      <c r="F146">
        <v>4</v>
      </c>
      <c r="H146" s="54">
        <f t="shared" si="38"/>
      </c>
      <c r="J146" s="12"/>
    </row>
    <row r="147" spans="1:10" ht="12.75" customHeight="1">
      <c r="A147" s="6">
        <v>4</v>
      </c>
      <c r="B147" s="141">
        <v>1</v>
      </c>
      <c r="C147" s="8" t="str">
        <f t="shared" si="36"/>
        <v>L Mokhothu</v>
      </c>
      <c r="D147" s="8" t="str">
        <f t="shared" si="37"/>
        <v>BRK</v>
      </c>
      <c r="E147" s="151">
        <v>23.77</v>
      </c>
      <c r="F147">
        <v>3</v>
      </c>
      <c r="H147" s="54">
        <f t="shared" si="38"/>
      </c>
      <c r="J147" s="12"/>
    </row>
    <row r="148" spans="1:10" ht="12.75" customHeight="1">
      <c r="A148" s="6">
        <v>5</v>
      </c>
      <c r="B148" s="132">
        <v>2</v>
      </c>
      <c r="C148" s="8" t="str">
        <f t="shared" si="36"/>
        <v>C Dyer-Grimes</v>
      </c>
      <c r="D148" s="8" t="str">
        <f t="shared" si="37"/>
        <v>BRK</v>
      </c>
      <c r="E148" s="151">
        <v>23.72</v>
      </c>
      <c r="F148">
        <v>2</v>
      </c>
      <c r="H148" s="54">
        <f t="shared" si="38"/>
      </c>
      <c r="J148" s="12"/>
    </row>
    <row r="149" spans="1:10" ht="12.75" customHeight="1">
      <c r="A149" s="6">
        <v>6</v>
      </c>
      <c r="B149" s="145">
        <v>9</v>
      </c>
      <c r="C149" s="8" t="str">
        <f t="shared" si="36"/>
        <v>Azeezah Okoyo</v>
      </c>
      <c r="D149" s="8" t="str">
        <f t="shared" si="37"/>
        <v>W&amp;M</v>
      </c>
      <c r="E149" s="151">
        <v>14.73</v>
      </c>
      <c r="F149">
        <v>1</v>
      </c>
      <c r="H149" s="54">
        <f t="shared" si="38"/>
      </c>
      <c r="J149" s="12"/>
    </row>
    <row r="150" spans="1:8" ht="12.75" customHeight="1">
      <c r="A150" s="6">
        <v>7</v>
      </c>
      <c r="B150" s="146">
        <v>10</v>
      </c>
      <c r="C150" s="8" t="str">
        <f t="shared" si="36"/>
        <v>Amina Bundu</v>
      </c>
      <c r="D150" s="8" t="str">
        <f t="shared" si="37"/>
        <v>W&amp;M</v>
      </c>
      <c r="E150" s="152">
        <v>13.9</v>
      </c>
      <c r="H150" s="52">
        <f t="shared" si="38"/>
      </c>
    </row>
    <row r="151" spans="1:8" ht="12.75" customHeight="1">
      <c r="A151" s="6">
        <v>8</v>
      </c>
      <c r="B151" s="146">
        <v>7</v>
      </c>
      <c r="C151" s="8" t="str">
        <f t="shared" si="36"/>
        <v>Daisy McDowell</v>
      </c>
      <c r="D151" s="8" t="str">
        <f t="shared" si="37"/>
        <v>SL</v>
      </c>
      <c r="E151" s="152">
        <v>12.87</v>
      </c>
      <c r="H151" s="52">
        <f t="shared" si="38"/>
      </c>
    </row>
    <row r="152" spans="1:8" ht="12.75" customHeight="1">
      <c r="A152" s="6">
        <v>9</v>
      </c>
      <c r="B152" s="146"/>
      <c r="C152" s="8">
        <f t="shared" si="36"/>
      </c>
      <c r="D152" s="8">
        <f t="shared" si="37"/>
      </c>
      <c r="E152" s="152"/>
      <c r="H152" s="52">
        <f t="shared" si="38"/>
      </c>
    </row>
    <row r="153" spans="1:8" ht="12.75" customHeight="1">
      <c r="A153" s="6">
        <v>10</v>
      </c>
      <c r="B153" s="146"/>
      <c r="C153" s="8">
        <f t="shared" si="36"/>
      </c>
      <c r="D153" s="8">
        <f t="shared" si="37"/>
      </c>
      <c r="E153" s="152"/>
      <c r="H153" s="52">
        <f t="shared" si="38"/>
      </c>
    </row>
    <row r="154" spans="1:5" ht="12.75" customHeight="1">
      <c r="A154" s="6">
        <v>11</v>
      </c>
      <c r="C154" s="8">
        <f t="shared" si="36"/>
      </c>
      <c r="D154" s="8">
        <f t="shared" si="37"/>
      </c>
      <c r="E154" s="152"/>
    </row>
    <row r="155" spans="1:5" ht="12.75" customHeight="1">
      <c r="A155" s="6">
        <v>12</v>
      </c>
      <c r="C155" s="8">
        <f t="shared" si="36"/>
      </c>
      <c r="D155" s="8">
        <f t="shared" si="37"/>
      </c>
      <c r="E155" s="152"/>
    </row>
    <row r="156" ht="12.75" customHeight="1"/>
    <row r="157" spans="1:10" ht="12.75" customHeight="1">
      <c r="A157" s="14" t="s">
        <v>144</v>
      </c>
      <c r="B157" s="143"/>
      <c r="C157" s="14"/>
      <c r="D157" s="14"/>
      <c r="E157" s="143"/>
      <c r="F157" s="14"/>
      <c r="G157" s="51"/>
      <c r="H157" s="51"/>
      <c r="I157" s="14"/>
      <c r="J157" s="14"/>
    </row>
    <row r="158" ht="12.75" customHeight="1"/>
    <row r="159" spans="1:11" ht="12.75" customHeight="1">
      <c r="A159" s="1" t="s">
        <v>0</v>
      </c>
      <c r="B159" s="134" t="s">
        <v>1</v>
      </c>
      <c r="C159" s="3" t="s">
        <v>2</v>
      </c>
      <c r="D159" s="4" t="s">
        <v>3</v>
      </c>
      <c r="E159" s="147" t="s">
        <v>4</v>
      </c>
      <c r="F159" s="16" t="s">
        <v>24</v>
      </c>
      <c r="G159" s="53"/>
      <c r="I159" t="s">
        <v>6</v>
      </c>
      <c r="J159" s="17">
        <v>11.39</v>
      </c>
      <c r="K159" s="161" t="s">
        <v>282</v>
      </c>
    </row>
    <row r="160" spans="1:10" ht="12.75" customHeight="1">
      <c r="A160" s="6">
        <v>1</v>
      </c>
      <c r="B160" s="138">
        <v>3</v>
      </c>
      <c r="C160" s="8" t="str">
        <f aca="true" t="shared" si="39" ref="C160:C171">IF(OR($B160=0,$B160=""),"",VLOOKUP($B160,jgsp,2,FALSE))</f>
        <v>E Armstrong</v>
      </c>
      <c r="D160" s="8" t="str">
        <f aca="true" t="shared" si="40" ref="D160:D171">IF(OR($B160=0,$B160=""),"",VLOOKUP($B160,jgsp,3,FALSE))</f>
        <v>WB</v>
      </c>
      <c r="E160" s="151">
        <v>9.93</v>
      </c>
      <c r="F160">
        <v>6</v>
      </c>
      <c r="G160" s="54">
        <f>IF(E160="","",IF(E160&lt;J159,"","CBP"))</f>
      </c>
      <c r="H160" s="54">
        <f aca="true" t="shared" si="41" ref="H160:H166">IF(E160="","",IF(E160&lt;J$160,"","ESQ"))</f>
      </c>
      <c r="I160" t="s">
        <v>26</v>
      </c>
      <c r="J160" s="17">
        <v>10</v>
      </c>
    </row>
    <row r="161" spans="1:10" ht="12.75" customHeight="1">
      <c r="A161" s="6">
        <v>2</v>
      </c>
      <c r="B161" s="138">
        <v>8</v>
      </c>
      <c r="C161" s="8" t="str">
        <f t="shared" si="39"/>
        <v>Jardae Hodge-Spencer</v>
      </c>
      <c r="D161" s="8" t="str">
        <f t="shared" si="40"/>
        <v>SL</v>
      </c>
      <c r="E161" s="151">
        <v>9.73</v>
      </c>
      <c r="F161">
        <v>5</v>
      </c>
      <c r="H161" s="54">
        <f t="shared" si="41"/>
      </c>
      <c r="J161" s="12"/>
    </row>
    <row r="162" spans="1:10" ht="12.75" customHeight="1">
      <c r="A162" s="6">
        <v>3</v>
      </c>
      <c r="B162" s="145">
        <v>1</v>
      </c>
      <c r="C162" s="8" t="str">
        <f t="shared" si="39"/>
        <v>A Blundell</v>
      </c>
      <c r="D162" s="8" t="str">
        <f t="shared" si="40"/>
        <v>BRK</v>
      </c>
      <c r="E162" s="151">
        <v>9.35</v>
      </c>
      <c r="F162">
        <v>4</v>
      </c>
      <c r="H162" s="54">
        <f t="shared" si="41"/>
      </c>
      <c r="J162" s="12"/>
    </row>
    <row r="163" spans="1:10" ht="12.75" customHeight="1">
      <c r="A163" s="6">
        <v>4</v>
      </c>
      <c r="B163" s="141">
        <v>2</v>
      </c>
      <c r="C163" s="8" t="str">
        <f t="shared" si="39"/>
        <v>L Gryce</v>
      </c>
      <c r="D163" s="8" t="str">
        <f t="shared" si="40"/>
        <v>BRK</v>
      </c>
      <c r="E163" s="151">
        <v>9.25</v>
      </c>
      <c r="F163">
        <v>3</v>
      </c>
      <c r="H163" s="54">
        <f t="shared" si="41"/>
      </c>
      <c r="J163" s="12"/>
    </row>
    <row r="164" spans="1:10" ht="12.75" customHeight="1">
      <c r="A164" s="6">
        <v>5</v>
      </c>
      <c r="B164" s="132">
        <v>9</v>
      </c>
      <c r="C164" s="8" t="str">
        <f t="shared" si="39"/>
        <v>Gabby Powell</v>
      </c>
      <c r="D164" s="8" t="str">
        <f t="shared" si="40"/>
        <v>W&amp;M</v>
      </c>
      <c r="E164" s="151">
        <v>9.24</v>
      </c>
      <c r="F164">
        <v>2</v>
      </c>
      <c r="H164" s="54">
        <f t="shared" si="41"/>
      </c>
      <c r="J164" s="12"/>
    </row>
    <row r="165" spans="1:10" ht="12.75" customHeight="1">
      <c r="A165" s="6">
        <v>6</v>
      </c>
      <c r="B165" s="145">
        <v>5</v>
      </c>
      <c r="C165" s="8" t="str">
        <f t="shared" si="39"/>
        <v>Charlotte Gofroth</v>
      </c>
      <c r="D165" s="8" t="str">
        <f t="shared" si="40"/>
        <v>RDG</v>
      </c>
      <c r="E165" s="151">
        <v>9.06</v>
      </c>
      <c r="F165">
        <v>1</v>
      </c>
      <c r="H165" s="54">
        <f t="shared" si="41"/>
      </c>
      <c r="J165" s="12"/>
    </row>
    <row r="166" spans="1:8" ht="12.75" customHeight="1">
      <c r="A166" s="6">
        <v>7</v>
      </c>
      <c r="B166" s="146">
        <v>4</v>
      </c>
      <c r="C166" s="8" t="str">
        <f t="shared" si="39"/>
        <v>B Carlton</v>
      </c>
      <c r="D166" s="8" t="str">
        <f t="shared" si="40"/>
        <v>WB</v>
      </c>
      <c r="E166" s="152">
        <v>7.94</v>
      </c>
      <c r="H166" s="52">
        <f t="shared" si="41"/>
      </c>
    </row>
    <row r="167" spans="1:5" ht="12.75" customHeight="1">
      <c r="A167" s="6">
        <v>8</v>
      </c>
      <c r="B167" s="146">
        <v>6</v>
      </c>
      <c r="C167" s="8" t="str">
        <f t="shared" si="39"/>
        <v>Adele Thomas</v>
      </c>
      <c r="D167" s="8" t="str">
        <f t="shared" si="40"/>
        <v>RDG</v>
      </c>
      <c r="E167" s="152"/>
    </row>
    <row r="168" spans="1:5" ht="12.75" customHeight="1">
      <c r="A168" s="6">
        <v>9</v>
      </c>
      <c r="B168" s="146"/>
      <c r="C168" s="8">
        <f t="shared" si="39"/>
      </c>
      <c r="D168" s="8">
        <f t="shared" si="40"/>
      </c>
      <c r="E168" s="152"/>
    </row>
    <row r="169" spans="1:5" ht="12.75" customHeight="1">
      <c r="A169" s="6">
        <v>10</v>
      </c>
      <c r="C169" s="8">
        <f t="shared" si="39"/>
      </c>
      <c r="D169" s="8">
        <f t="shared" si="40"/>
      </c>
      <c r="E169" s="152"/>
    </row>
    <row r="170" spans="1:5" ht="12.75" customHeight="1">
      <c r="A170" s="6">
        <v>11</v>
      </c>
      <c r="C170" s="8">
        <f t="shared" si="39"/>
      </c>
      <c r="D170" s="8">
        <f t="shared" si="40"/>
      </c>
      <c r="E170" s="152"/>
    </row>
    <row r="171" spans="1:5" ht="12.75" customHeight="1">
      <c r="A171" s="6">
        <v>12</v>
      </c>
      <c r="C171" s="8">
        <f t="shared" si="39"/>
      </c>
      <c r="D171" s="8">
        <f t="shared" si="40"/>
      </c>
      <c r="E171" s="152"/>
    </row>
    <row r="172" ht="12.75" customHeight="1"/>
    <row r="173" spans="1:10" ht="12.75" customHeight="1">
      <c r="A173" s="14" t="s">
        <v>56</v>
      </c>
      <c r="B173" s="143"/>
      <c r="C173" s="14"/>
      <c r="D173" s="14"/>
      <c r="E173" s="143"/>
      <c r="F173" s="14"/>
      <c r="G173" s="51"/>
      <c r="H173" s="51"/>
      <c r="I173" s="14"/>
      <c r="J173" s="14"/>
    </row>
    <row r="174" ht="12.75" customHeight="1"/>
    <row r="175" spans="1:11" ht="12.75" customHeight="1">
      <c r="A175" s="1" t="s">
        <v>0</v>
      </c>
      <c r="B175" s="134" t="s">
        <v>1</v>
      </c>
      <c r="C175" s="3" t="s">
        <v>2</v>
      </c>
      <c r="D175" s="4" t="s">
        <v>3</v>
      </c>
      <c r="E175" s="147" t="s">
        <v>4</v>
      </c>
      <c r="F175" s="16" t="s">
        <v>24</v>
      </c>
      <c r="G175" s="53"/>
      <c r="I175" t="s">
        <v>6</v>
      </c>
      <c r="J175" s="17">
        <v>1.67</v>
      </c>
      <c r="K175" s="161" t="s">
        <v>330</v>
      </c>
    </row>
    <row r="176" spans="1:10" ht="12.75" customHeight="1">
      <c r="A176" s="6">
        <v>1</v>
      </c>
      <c r="B176" s="138">
        <v>11</v>
      </c>
      <c r="C176" s="8" t="str">
        <f aca="true" t="shared" si="42" ref="C176:C187">IF(OR($B176=0,$B176=""),"",VLOOKUP($B176,jghj,2,FALSE))</f>
        <v>I Parsons</v>
      </c>
      <c r="D176" s="8" t="str">
        <f aca="true" t="shared" si="43" ref="D176:D187">IF(OR($B176=0,$B176=""),"",VLOOKUP($B176,jghj,3,FALSE))</f>
        <v>WOK</v>
      </c>
      <c r="E176" s="151">
        <v>1.5</v>
      </c>
      <c r="F176">
        <v>6</v>
      </c>
      <c r="G176" s="54">
        <f>IF(E176="","",IF(E176&lt;J175,"","CBP"))</f>
      </c>
      <c r="H176" s="54">
        <f aca="true" t="shared" si="44" ref="H176:H185">IF(E176="","",IF(E176&lt;J$176,"","ESQ"))</f>
      </c>
      <c r="I176" t="s">
        <v>26</v>
      </c>
      <c r="J176" s="17">
        <v>1.57</v>
      </c>
    </row>
    <row r="177" spans="1:10" ht="12.75" customHeight="1">
      <c r="A177" s="6">
        <v>2</v>
      </c>
      <c r="B177" s="138">
        <v>10</v>
      </c>
      <c r="C177" s="8" t="str">
        <f t="shared" si="42"/>
        <v>Zoe Allanson</v>
      </c>
      <c r="D177" s="8" t="str">
        <f t="shared" si="43"/>
        <v>W&amp;M</v>
      </c>
      <c r="E177" s="151">
        <v>1.48</v>
      </c>
      <c r="F177">
        <v>5</v>
      </c>
      <c r="H177" s="54">
        <f t="shared" si="44"/>
      </c>
      <c r="J177" s="12"/>
    </row>
    <row r="178" spans="1:10" ht="12.75" customHeight="1">
      <c r="A178" s="6">
        <v>3</v>
      </c>
      <c r="B178" s="145">
        <v>5</v>
      </c>
      <c r="C178" s="8" t="str">
        <f t="shared" si="42"/>
        <v>Bella Cooper</v>
      </c>
      <c r="D178" s="8" t="str">
        <f t="shared" si="43"/>
        <v>RDG</v>
      </c>
      <c r="E178" s="151">
        <v>1.45</v>
      </c>
      <c r="F178">
        <v>4</v>
      </c>
      <c r="H178" s="54">
        <f t="shared" si="44"/>
      </c>
      <c r="J178" s="12"/>
    </row>
    <row r="179" spans="1:10" ht="12.75" customHeight="1">
      <c r="A179" s="6">
        <v>4</v>
      </c>
      <c r="B179" s="141">
        <v>1</v>
      </c>
      <c r="C179" s="8" t="str">
        <f t="shared" si="42"/>
        <v>I Pennycooke</v>
      </c>
      <c r="D179" s="8" t="str">
        <f t="shared" si="43"/>
        <v>BRK</v>
      </c>
      <c r="E179" s="151">
        <v>1.4</v>
      </c>
      <c r="F179">
        <v>3</v>
      </c>
      <c r="H179" s="54">
        <f t="shared" si="44"/>
      </c>
      <c r="J179" s="12"/>
    </row>
    <row r="180" spans="1:10" ht="12.75" customHeight="1">
      <c r="A180" s="6">
        <v>4</v>
      </c>
      <c r="B180" s="132">
        <v>12</v>
      </c>
      <c r="C180" s="8" t="str">
        <f t="shared" si="42"/>
        <v>R Losei-Ingham</v>
      </c>
      <c r="D180" s="8" t="str">
        <f t="shared" si="43"/>
        <v>WOK</v>
      </c>
      <c r="E180" s="151">
        <v>1.35</v>
      </c>
      <c r="F180">
        <v>3</v>
      </c>
      <c r="H180" s="54">
        <f t="shared" si="44"/>
      </c>
      <c r="J180" s="12"/>
    </row>
    <row r="181" spans="1:10" ht="12.75" customHeight="1">
      <c r="A181" s="6">
        <v>6</v>
      </c>
      <c r="B181" s="145">
        <v>2</v>
      </c>
      <c r="C181" s="8" t="str">
        <f t="shared" si="42"/>
        <v>B Jordan</v>
      </c>
      <c r="D181" s="8" t="str">
        <f t="shared" si="43"/>
        <v>BRK</v>
      </c>
      <c r="E181" s="151">
        <v>1.35</v>
      </c>
      <c r="F181">
        <v>1</v>
      </c>
      <c r="H181" s="54">
        <f t="shared" si="44"/>
      </c>
      <c r="J181" s="12"/>
    </row>
    <row r="182" spans="1:8" ht="12.75" customHeight="1">
      <c r="A182" s="6">
        <v>6</v>
      </c>
      <c r="B182" s="146">
        <v>3</v>
      </c>
      <c r="C182" s="8" t="str">
        <f t="shared" si="42"/>
        <v>S Novatin</v>
      </c>
      <c r="D182" s="8" t="str">
        <f t="shared" si="43"/>
        <v>WB</v>
      </c>
      <c r="E182" s="152">
        <v>1.35</v>
      </c>
      <c r="H182" s="52">
        <f t="shared" si="44"/>
      </c>
    </row>
    <row r="183" spans="1:8" ht="12.75" customHeight="1">
      <c r="A183" s="6">
        <v>6</v>
      </c>
      <c r="B183" s="146">
        <v>4</v>
      </c>
      <c r="C183" s="8" t="str">
        <f t="shared" si="42"/>
        <v>R Love</v>
      </c>
      <c r="D183" s="8" t="str">
        <f t="shared" si="43"/>
        <v>WB</v>
      </c>
      <c r="E183" s="152">
        <v>1.35</v>
      </c>
      <c r="H183" s="52">
        <f t="shared" si="44"/>
      </c>
    </row>
    <row r="184" spans="1:8" ht="12.75" customHeight="1">
      <c r="A184" s="6">
        <v>9</v>
      </c>
      <c r="B184" s="146">
        <v>8</v>
      </c>
      <c r="C184" s="8" t="str">
        <f t="shared" si="42"/>
        <v>Megan Morris</v>
      </c>
      <c r="D184" s="8" t="str">
        <f t="shared" si="43"/>
        <v>SL</v>
      </c>
      <c r="E184" s="152">
        <v>1.3</v>
      </c>
      <c r="H184" s="52">
        <f t="shared" si="44"/>
      </c>
    </row>
    <row r="185" spans="1:8" ht="12.75" customHeight="1">
      <c r="A185" s="6">
        <v>10</v>
      </c>
      <c r="B185" s="146"/>
      <c r="C185" s="8">
        <f t="shared" si="42"/>
      </c>
      <c r="D185" s="8">
        <f t="shared" si="43"/>
      </c>
      <c r="E185" s="152"/>
      <c r="H185" s="52">
        <f t="shared" si="44"/>
      </c>
    </row>
    <row r="186" spans="1:5" ht="12.75" customHeight="1">
      <c r="A186" s="6">
        <v>11</v>
      </c>
      <c r="C186" s="8">
        <f t="shared" si="42"/>
      </c>
      <c r="D186" s="8">
        <f t="shared" si="43"/>
      </c>
      <c r="E186" s="152"/>
    </row>
    <row r="187" spans="1:5" ht="12.75" customHeight="1">
      <c r="A187" s="6">
        <v>12</v>
      </c>
      <c r="C187" s="8">
        <f t="shared" si="42"/>
      </c>
      <c r="D187" s="8">
        <f t="shared" si="43"/>
      </c>
      <c r="E187" s="152"/>
    </row>
    <row r="188" ht="12.75" customHeight="1"/>
    <row r="189" spans="1:10" ht="12.75" customHeight="1">
      <c r="A189" s="14" t="s">
        <v>62</v>
      </c>
      <c r="B189" s="143"/>
      <c r="C189" s="14"/>
      <c r="D189" s="14"/>
      <c r="E189" s="143"/>
      <c r="F189" s="14"/>
      <c r="G189" s="51"/>
      <c r="H189" s="51"/>
      <c r="I189" s="14"/>
      <c r="J189" s="14"/>
    </row>
    <row r="190" ht="12.75" customHeight="1"/>
    <row r="191" spans="1:10" ht="12.75" customHeight="1">
      <c r="A191" s="1" t="s">
        <v>0</v>
      </c>
      <c r="B191" s="134" t="s">
        <v>1</v>
      </c>
      <c r="C191" s="3" t="s">
        <v>2</v>
      </c>
      <c r="D191" s="4" t="s">
        <v>3</v>
      </c>
      <c r="E191" s="147" t="s">
        <v>4</v>
      </c>
      <c r="F191" s="16" t="s">
        <v>24</v>
      </c>
      <c r="G191" s="53"/>
      <c r="I191" t="s">
        <v>6</v>
      </c>
      <c r="J191" s="17">
        <v>37.32</v>
      </c>
    </row>
    <row r="192" spans="1:10" ht="12.75" customHeight="1">
      <c r="A192" s="6">
        <v>1</v>
      </c>
      <c r="B192" s="138">
        <v>3</v>
      </c>
      <c r="C192" s="8" t="str">
        <f aca="true" t="shared" si="45" ref="C192:C204">IF(OR($B192=0,$B192=""),"",VLOOKUP($B192,jgjt,2,FALSE))</f>
        <v>P Hoaen</v>
      </c>
      <c r="D192" s="8" t="str">
        <f aca="true" t="shared" si="46" ref="D192:D204">IF(OR($B192=0,$B192=""),"",VLOOKUP($B192,jgjt,3,FALSE))</f>
        <v>WB</v>
      </c>
      <c r="E192" s="151">
        <v>33.26</v>
      </c>
      <c r="F192">
        <v>6</v>
      </c>
      <c r="G192" s="54">
        <f>IF(E192="","",IF(E192&lt;J191,"","CBP"))</f>
      </c>
      <c r="H192" s="54">
        <f aca="true" t="shared" si="47" ref="H192:H200">IF(E192="","",IF(E192&lt;J$192,"","ESQ"))</f>
      </c>
      <c r="I192" t="s">
        <v>26</v>
      </c>
      <c r="J192" s="17">
        <v>34</v>
      </c>
    </row>
    <row r="193" spans="1:10" ht="12.75" customHeight="1">
      <c r="A193" s="6">
        <v>2</v>
      </c>
      <c r="B193" s="138">
        <v>11</v>
      </c>
      <c r="C193" s="8" t="str">
        <f t="shared" si="45"/>
        <v>A Miller</v>
      </c>
      <c r="D193" s="8" t="str">
        <f t="shared" si="46"/>
        <v>WOK</v>
      </c>
      <c r="E193" s="151">
        <v>32.17</v>
      </c>
      <c r="F193">
        <v>5</v>
      </c>
      <c r="H193" s="54">
        <f t="shared" si="47"/>
      </c>
      <c r="J193" s="12"/>
    </row>
    <row r="194" spans="1:10" ht="12.75" customHeight="1">
      <c r="A194" s="6">
        <v>3</v>
      </c>
      <c r="B194" s="145">
        <v>9</v>
      </c>
      <c r="C194" s="8" t="str">
        <f t="shared" si="45"/>
        <v>LanaWallis</v>
      </c>
      <c r="D194" s="8" t="str">
        <f t="shared" si="46"/>
        <v>W&amp;M</v>
      </c>
      <c r="E194" s="151">
        <v>31.54</v>
      </c>
      <c r="F194">
        <v>4</v>
      </c>
      <c r="H194" s="54">
        <f t="shared" si="47"/>
      </c>
      <c r="J194" s="12"/>
    </row>
    <row r="195" spans="1:10" ht="12.75" customHeight="1">
      <c r="A195" s="6">
        <v>4</v>
      </c>
      <c r="B195" s="141">
        <v>4</v>
      </c>
      <c r="C195" s="8" t="str">
        <f t="shared" si="45"/>
        <v>D Dijksman</v>
      </c>
      <c r="D195" s="8" t="str">
        <f t="shared" si="46"/>
        <v>WB</v>
      </c>
      <c r="E195" s="151">
        <v>28.53</v>
      </c>
      <c r="F195">
        <v>3</v>
      </c>
      <c r="H195" s="54">
        <f t="shared" si="47"/>
      </c>
      <c r="J195" s="12"/>
    </row>
    <row r="196" spans="1:10" ht="12.75" customHeight="1">
      <c r="A196" s="6">
        <v>5</v>
      </c>
      <c r="B196" s="132">
        <v>1</v>
      </c>
      <c r="C196" s="8" t="str">
        <f t="shared" si="45"/>
        <v>P Whitmore</v>
      </c>
      <c r="D196" s="8" t="str">
        <f t="shared" si="46"/>
        <v>BRK</v>
      </c>
      <c r="E196" s="151">
        <v>22.3</v>
      </c>
      <c r="F196">
        <v>2</v>
      </c>
      <c r="H196" s="54">
        <f t="shared" si="47"/>
      </c>
      <c r="J196" s="12"/>
    </row>
    <row r="197" spans="1:10" ht="12.75" customHeight="1">
      <c r="A197" s="6">
        <v>6</v>
      </c>
      <c r="B197" s="145">
        <v>2</v>
      </c>
      <c r="C197" s="8" t="str">
        <f t="shared" si="45"/>
        <v>T Moore</v>
      </c>
      <c r="D197" s="8" t="str">
        <f t="shared" si="46"/>
        <v>BRK</v>
      </c>
      <c r="E197" s="151">
        <v>20.45</v>
      </c>
      <c r="F197">
        <v>1</v>
      </c>
      <c r="H197" s="54">
        <f t="shared" si="47"/>
      </c>
      <c r="J197" s="12"/>
    </row>
    <row r="198" spans="1:8" ht="12.75" customHeight="1">
      <c r="A198" s="6">
        <v>7</v>
      </c>
      <c r="B198" s="146">
        <v>6</v>
      </c>
      <c r="C198" s="8" t="str">
        <f t="shared" si="45"/>
        <v>Isobel Benster</v>
      </c>
      <c r="D198" s="8" t="str">
        <f t="shared" si="46"/>
        <v>RDG</v>
      </c>
      <c r="E198" s="152">
        <v>19.98</v>
      </c>
      <c r="H198" s="52">
        <f t="shared" si="47"/>
      </c>
    </row>
    <row r="199" spans="1:8" ht="12.75" customHeight="1">
      <c r="A199" s="6">
        <v>8</v>
      </c>
      <c r="B199" s="146"/>
      <c r="C199" s="8">
        <f t="shared" si="45"/>
      </c>
      <c r="D199" s="8">
        <f t="shared" si="46"/>
      </c>
      <c r="E199" s="152"/>
      <c r="H199" s="52">
        <f t="shared" si="47"/>
      </c>
    </row>
    <row r="200" spans="1:8" ht="12.75" customHeight="1">
      <c r="A200" s="6">
        <v>9</v>
      </c>
      <c r="B200" s="146"/>
      <c r="C200" s="8">
        <f t="shared" si="45"/>
      </c>
      <c r="D200" s="8">
        <f t="shared" si="46"/>
      </c>
      <c r="E200" s="152"/>
      <c r="H200" s="52">
        <f t="shared" si="47"/>
      </c>
    </row>
    <row r="201" spans="1:5" ht="12.75" customHeight="1">
      <c r="A201" s="6">
        <v>10</v>
      </c>
      <c r="C201" s="8">
        <f t="shared" si="45"/>
      </c>
      <c r="D201" s="8">
        <f t="shared" si="46"/>
      </c>
      <c r="E201" s="152"/>
    </row>
    <row r="202" spans="1:5" ht="12.75" customHeight="1">
      <c r="A202" s="6">
        <v>11</v>
      </c>
      <c r="C202" s="8">
        <f t="shared" si="45"/>
      </c>
      <c r="D202" s="8">
        <f t="shared" si="46"/>
      </c>
      <c r="E202" s="152"/>
    </row>
    <row r="203" spans="1:5" ht="12.75" customHeight="1">
      <c r="A203" s="6"/>
      <c r="C203" s="8"/>
      <c r="D203" s="8"/>
      <c r="E203" s="152"/>
    </row>
    <row r="204" spans="1:5" ht="12.75" customHeight="1">
      <c r="A204" s="6"/>
      <c r="C204" s="8">
        <f t="shared" si="45"/>
      </c>
      <c r="D204" s="8">
        <f t="shared" si="46"/>
      </c>
      <c r="E204" s="152"/>
    </row>
    <row r="205" ht="12.75">
      <c r="A205" s="14" t="s">
        <v>735</v>
      </c>
    </row>
    <row r="207" spans="1:9" ht="12.75">
      <c r="A207" s="1" t="s">
        <v>0</v>
      </c>
      <c r="B207" s="134" t="s">
        <v>1</v>
      </c>
      <c r="C207" s="3" t="s">
        <v>2</v>
      </c>
      <c r="D207" s="4" t="s">
        <v>3</v>
      </c>
      <c r="E207" s="147" t="s">
        <v>4</v>
      </c>
      <c r="F207" s="16" t="s">
        <v>24</v>
      </c>
      <c r="I207" t="s">
        <v>6</v>
      </c>
    </row>
    <row r="208" spans="1:10" ht="12.75">
      <c r="A208">
        <v>1</v>
      </c>
      <c r="B208" s="144">
        <v>5</v>
      </c>
      <c r="C208" s="8" t="str">
        <f>IF(OR($B208=0,$B208=""),"",VLOOKUP($B208,jgHThrow,2,FALSE))</f>
        <v>Amy Luke</v>
      </c>
      <c r="D208" s="8" t="str">
        <f>IF(OR($B208=0,$B208=""),"",VLOOKUP($B208,jgHammer,3,FALSE))</f>
        <v>RDG</v>
      </c>
      <c r="E208" s="144">
        <v>26.15</v>
      </c>
      <c r="F208" s="42">
        <v>6</v>
      </c>
      <c r="H208" s="55"/>
      <c r="I208" t="s">
        <v>26</v>
      </c>
      <c r="J208">
        <v>34</v>
      </c>
    </row>
    <row r="209" spans="1:6" ht="12.75">
      <c r="A209">
        <v>2</v>
      </c>
      <c r="B209" s="144">
        <v>7</v>
      </c>
      <c r="C209" s="8" t="str">
        <f>IF(OR($B209=0,$B209=""),"",VLOOKUP($B209,jgHThrow,2,FALSE))</f>
        <v>Jessica Woodford</v>
      </c>
      <c r="D209" s="8" t="str">
        <f>IF(OR($B209=0,$B209=""),"",VLOOKUP($B209,jgHammer,3,FALSE))</f>
        <v>SL</v>
      </c>
      <c r="E209" s="144">
        <v>20</v>
      </c>
      <c r="F209">
        <v>5</v>
      </c>
    </row>
    <row r="212" ht="12.75">
      <c r="A212" s="14" t="s">
        <v>194</v>
      </c>
    </row>
    <row r="214" spans="1:10" ht="12.75">
      <c r="A214" s="1" t="s">
        <v>0</v>
      </c>
      <c r="B214" s="134" t="s">
        <v>1</v>
      </c>
      <c r="C214" s="3" t="s">
        <v>2</v>
      </c>
      <c r="D214" s="4" t="s">
        <v>3</v>
      </c>
      <c r="E214" s="147" t="s">
        <v>4</v>
      </c>
      <c r="F214" s="16" t="s">
        <v>24</v>
      </c>
      <c r="I214" t="s">
        <v>6</v>
      </c>
      <c r="J214">
        <v>2.6</v>
      </c>
    </row>
    <row r="215" spans="1:10" ht="15.75">
      <c r="A215">
        <v>1</v>
      </c>
      <c r="B215" s="144">
        <v>3</v>
      </c>
      <c r="C215" s="8" t="str">
        <f>IF(OR($B215=0,$B215=""),"",VLOOKUP($B215,jgpv,2,FALSE))</f>
        <v>Sinead Marshall</v>
      </c>
      <c r="D215" s="8" t="str">
        <f>IF(OR($B215=0,$B215=""),"",VLOOKUP($B215,jgpv,3,FALSE))</f>
        <v>WB</v>
      </c>
      <c r="E215" s="144">
        <v>2.55</v>
      </c>
      <c r="F215" s="42">
        <v>6</v>
      </c>
      <c r="H215" s="54">
        <f>IF(E215="","",IF(E215&lt;J$192,"","ESQ"))</f>
      </c>
      <c r="I215" t="s">
        <v>26</v>
      </c>
      <c r="J215">
        <v>2.75</v>
      </c>
    </row>
    <row r="216" spans="1:8" ht="15.75">
      <c r="A216">
        <v>2</v>
      </c>
      <c r="B216" s="144">
        <v>1</v>
      </c>
      <c r="C216" s="8" t="str">
        <f>IF(OR($B216=0,$B216=""),"",VLOOKUP($B216,jgpv,2,FALSE))</f>
        <v>A Ceccato</v>
      </c>
      <c r="D216" s="8" t="str">
        <f>IF(OR($B216=0,$B216=""),"",VLOOKUP($B216,jgpv,3,FALSE))</f>
        <v>BRK</v>
      </c>
      <c r="E216" s="144">
        <v>1.9</v>
      </c>
      <c r="F216">
        <v>5</v>
      </c>
      <c r="H216" s="54">
        <f>IF(E216="","",IF(E216&lt;J$192,"","ESQ"))</f>
      </c>
    </row>
  </sheetData>
  <sheetProtection selectLockedCells="1"/>
  <printOptions horizontalCentered="1"/>
  <pageMargins left="0" right="0" top="1.3779527559055118" bottom="0.984251968503937" header="0.5118110236220472" footer="0.5118110236220472"/>
  <pageSetup horizontalDpi="300" verticalDpi="300" orientation="landscape" paperSize="9" scale="91" r:id="rId2"/>
  <headerFooter alignWithMargins="0">
    <oddHeader>&amp;L&amp;G&amp;CBerkshire Schools Track &amp; &amp; Field Championships - June 10 2010, Palmer Park
Junior Girls (U15) Full Results</oddHeader>
  </headerFooter>
  <rowBreaks count="4" manualBreakCount="4">
    <brk id="37" max="255" man="1"/>
    <brk id="82" max="255" man="1"/>
    <brk id="156" max="255" man="1"/>
    <brk id="18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17"/>
  <sheetViews>
    <sheetView zoomScale="110" zoomScaleNormal="110" zoomScalePageLayoutView="0" workbookViewId="0" topLeftCell="A1">
      <selection activeCell="AC11" sqref="AC11"/>
    </sheetView>
  </sheetViews>
  <sheetFormatPr defaultColWidth="9.140625" defaultRowHeight="12.75"/>
  <cols>
    <col min="1" max="1" width="5.140625" style="27" customWidth="1"/>
    <col min="2" max="4" width="5.421875" style="26" bestFit="1" customWidth="1"/>
    <col min="5" max="5" width="8.8515625" style="27" customWidth="1"/>
    <col min="6" max="6" width="3.57421875" style="27" customWidth="1"/>
    <col min="7" max="7" width="5.28125" style="28" customWidth="1"/>
    <col min="8" max="8" width="7.57421875" style="27" customWidth="1"/>
    <col min="9" max="9" width="3.140625" style="27" customWidth="1"/>
    <col min="10" max="10" width="5.421875" style="27" customWidth="1"/>
    <col min="11" max="11" width="8.8515625" style="27" customWidth="1"/>
    <col min="12" max="12" width="3.28125" style="27" customWidth="1"/>
    <col min="13" max="13" width="5.28125" style="27" customWidth="1"/>
    <col min="14" max="14" width="7.8515625" style="27" customWidth="1"/>
    <col min="15" max="15" width="3.00390625" style="27" customWidth="1"/>
    <col min="16" max="16" width="5.7109375" style="27" customWidth="1"/>
    <col min="17" max="17" width="8.8515625" style="27" customWidth="1"/>
    <col min="18" max="18" width="4.421875" style="27" customWidth="1"/>
    <col min="19" max="19" width="5.421875" style="27" customWidth="1"/>
    <col min="20" max="20" width="8.00390625" style="27" customWidth="1"/>
    <col min="21" max="21" width="3.7109375" style="27" customWidth="1"/>
    <col min="22" max="22" width="5.421875" style="37" customWidth="1"/>
    <col min="23" max="23" width="3.140625" style="328" customWidth="1"/>
    <col min="24" max="24" width="3.7109375" style="328" customWidth="1"/>
    <col min="25" max="25" width="3.8515625" style="328" customWidth="1"/>
    <col min="26" max="26" width="3.7109375" style="328" customWidth="1"/>
    <col min="27" max="27" width="4.140625" style="328" customWidth="1"/>
    <col min="28" max="28" width="3.8515625" style="328" customWidth="1"/>
  </cols>
  <sheetData>
    <row r="1" spans="1:23" ht="35.25" customHeight="1">
      <c r="A1" s="25" t="s">
        <v>124</v>
      </c>
      <c r="W1" s="327" t="s">
        <v>17</v>
      </c>
    </row>
    <row r="2" spans="1:28" s="14" customFormat="1" ht="19.5" customHeight="1">
      <c r="A2" s="30" t="s">
        <v>15</v>
      </c>
      <c r="B2" s="31" t="s">
        <v>6</v>
      </c>
      <c r="C2" s="31" t="s">
        <v>7</v>
      </c>
      <c r="D2" s="31" t="s">
        <v>8</v>
      </c>
      <c r="E2" s="32" t="s">
        <v>9</v>
      </c>
      <c r="F2" s="30"/>
      <c r="G2" s="32"/>
      <c r="H2" s="32" t="s">
        <v>10</v>
      </c>
      <c r="I2" s="30"/>
      <c r="J2" s="30"/>
      <c r="K2" s="30" t="s">
        <v>11</v>
      </c>
      <c r="L2" s="30"/>
      <c r="M2" s="30"/>
      <c r="N2" s="32" t="s">
        <v>12</v>
      </c>
      <c r="O2" s="30"/>
      <c r="P2" s="32"/>
      <c r="Q2" s="32" t="s">
        <v>13</v>
      </c>
      <c r="R2" s="30"/>
      <c r="S2" s="30"/>
      <c r="T2" s="30" t="s">
        <v>14</v>
      </c>
      <c r="U2" s="30"/>
      <c r="V2" s="123"/>
      <c r="W2" s="329" t="s">
        <v>16</v>
      </c>
      <c r="X2" s="330" t="s">
        <v>18</v>
      </c>
      <c r="Y2" s="330" t="s">
        <v>19</v>
      </c>
      <c r="Z2" s="330" t="s">
        <v>20</v>
      </c>
      <c r="AA2" s="330" t="s">
        <v>21</v>
      </c>
      <c r="AB2" s="330" t="s">
        <v>22</v>
      </c>
    </row>
    <row r="3" spans="1:28" ht="19.5" customHeight="1">
      <c r="A3" s="33" t="s">
        <v>65</v>
      </c>
      <c r="B3" s="34">
        <v>12.3</v>
      </c>
      <c r="C3" s="34">
        <v>12.8</v>
      </c>
      <c r="D3" s="34">
        <v>12.5</v>
      </c>
      <c r="E3" s="48" t="str">
        <f>jg!$C59</f>
        <v>A Sillett</v>
      </c>
      <c r="F3" s="48" t="str">
        <f>jg!$D59</f>
        <v>BRK</v>
      </c>
      <c r="G3" s="48">
        <f>jg!$E59</f>
        <v>12.9</v>
      </c>
      <c r="H3" s="48" t="str">
        <f>jg!$C60</f>
        <v>Shanelle Onestas</v>
      </c>
      <c r="I3" s="48" t="str">
        <f>jg!$D60</f>
        <v>SL</v>
      </c>
      <c r="J3" s="48">
        <f>jg!$E60</f>
        <v>13.2</v>
      </c>
      <c r="K3" s="48" t="str">
        <f>jg!$C61</f>
        <v>L Springer</v>
      </c>
      <c r="L3" s="48" t="str">
        <f>jg!$D61</f>
        <v>WOK</v>
      </c>
      <c r="M3" s="48">
        <f>jg!$E61</f>
        <v>13.3</v>
      </c>
      <c r="N3" s="48" t="str">
        <f>jg!$C62</f>
        <v>F Gaye</v>
      </c>
      <c r="O3" s="48" t="str">
        <f>jg!$D62</f>
        <v>WOK</v>
      </c>
      <c r="P3" s="48">
        <f>jg!$E62</f>
        <v>13.5</v>
      </c>
      <c r="Q3" s="48" t="str">
        <f>jg!$C63</f>
        <v>Olivia Phelps</v>
      </c>
      <c r="R3" s="48" t="str">
        <f>jg!$D63</f>
        <v>W&amp;M</v>
      </c>
      <c r="S3" s="48">
        <f>jg!$E63</f>
        <v>13.6</v>
      </c>
      <c r="T3" s="48" t="str">
        <f>jg!$C64</f>
        <v>I Cook</v>
      </c>
      <c r="U3" s="48" t="str">
        <f>jg!$D64</f>
        <v>BRK</v>
      </c>
      <c r="V3" s="48">
        <f>jg!$E64</f>
        <v>13.8</v>
      </c>
      <c r="W3" s="329">
        <f>IF($F3="wb",6,0)+IF($I3="wb",5,0)+IF($L3="wb",4,0)+IF($O3="wb",3,0)+IF($R3="wb",2,0)+IF($U3="wb",1,0)</f>
        <v>0</v>
      </c>
      <c r="X3" s="330">
        <f>IF($F3="rdg",6,0)+IF($I3="rdg",5,0)+IF($L3="rdg",4,0)+IF($O3="rdg",3,0)+IF($R3="rdg",2,0)+IF($U3="rdg",1,0)</f>
        <v>0</v>
      </c>
      <c r="Y3" s="330">
        <f>IF($F3="wok",6,0)+IF($I3="wok",5,0)+IF($L3="wok",4,0)+IF($O3="wok",3,0)+IF($R3="wok",2,0)+IF($U3="wok",1,0)</f>
        <v>7</v>
      </c>
      <c r="Z3" s="330">
        <f>IF($F3="brk",6,0)+IF($I3="brk",5,0)+IF($L3="brk",4,0)+IF($O3="brk",3,0)+IF($R3="brk",2,0)+IF($U3="brk",1,0)</f>
        <v>7</v>
      </c>
      <c r="AA3" s="330">
        <f>IF($F3="w&amp;m",6,0)+IF($I3="w&amp;m",5,0)+IF($L3="w&amp;m",4,0)+IF($O3="w&amp;m",3,0)+IF($R3="w&amp;m",2,0)+IF($U3="w&amp;m",1,0)</f>
        <v>2</v>
      </c>
      <c r="AB3" s="330">
        <f>IF($F3="sl",6,0)+IF($I3="sl",5,0)+IF($L3="sl",4,0)+IF($O3="sl",3,0)+IF($R3="sl",2,0)+IF($U3="sl",1,0)</f>
        <v>5</v>
      </c>
    </row>
    <row r="4" spans="1:28" s="13" customFormat="1" ht="19.5" customHeight="1">
      <c r="A4" s="33" t="s">
        <v>5</v>
      </c>
      <c r="B4" s="34">
        <v>24.8</v>
      </c>
      <c r="C4" s="34">
        <v>26.3</v>
      </c>
      <c r="D4" s="34">
        <v>25.5</v>
      </c>
      <c r="E4" s="48" t="str">
        <f>jg!$C116</f>
        <v>E Morris</v>
      </c>
      <c r="F4" s="48" t="str">
        <f>jg!$D116</f>
        <v>BRK</v>
      </c>
      <c r="G4" s="320">
        <f>jg!$E116</f>
        <v>26.3</v>
      </c>
      <c r="H4" s="48" t="str">
        <f>jg!$C117</f>
        <v>Matilda Robinson</v>
      </c>
      <c r="I4" s="48" t="str">
        <f>jg!$D117</f>
        <v>W&amp;M</v>
      </c>
      <c r="J4" s="48">
        <f>jg!$E117</f>
        <v>26.6</v>
      </c>
      <c r="K4" s="48" t="str">
        <f>jg!$C118</f>
        <v>Ashonte Ferguson</v>
      </c>
      <c r="L4" s="48" t="str">
        <f>jg!$D118</f>
        <v>SL</v>
      </c>
      <c r="M4" s="48">
        <f>jg!$E118</f>
        <v>27.7</v>
      </c>
      <c r="N4" s="48" t="str">
        <f>jg!$C119</f>
        <v>H Stone</v>
      </c>
      <c r="O4" s="48" t="str">
        <f>jg!$D119</f>
        <v>WOK</v>
      </c>
      <c r="P4" s="48">
        <f>jg!$E119</f>
        <v>27.9</v>
      </c>
      <c r="Q4" s="48" t="str">
        <f>jg!$C120</f>
        <v>E Johnson</v>
      </c>
      <c r="R4" s="48" t="str">
        <f>jg!$D120</f>
        <v>WOK</v>
      </c>
      <c r="S4" s="48">
        <f>jg!$E120</f>
        <v>28.2</v>
      </c>
      <c r="T4" s="48" t="str">
        <f>jg!$C121</f>
        <v>Leila Lister</v>
      </c>
      <c r="U4" s="48" t="str">
        <f>jg!$D121</f>
        <v>RDG</v>
      </c>
      <c r="V4" s="48">
        <f>jg!$E121</f>
        <v>28.5</v>
      </c>
      <c r="W4" s="329">
        <f>IF($F4="wb",6,0)+IF($I4="wb",5,0)+IF($L4="wb",4,0)+IF($O4="wb",3,0)+IF($R4="wb",2,0)+IF($U4="wb",1,0)</f>
        <v>0</v>
      </c>
      <c r="X4" s="330">
        <f>IF($F4="rdg",6,0)+IF($I4="rdg",5,0)+IF($L4="rdg",4,0)+IF($O4="rdg",3,0)+IF($R4="rdg",2,0)+IF($U4="rdg",1,0)</f>
        <v>1</v>
      </c>
      <c r="Y4" s="330">
        <f>IF($F4="wok",6,0)+IF($I4="wok",5,0)+IF($L4="wok",4,0)+IF($O4="wok",3,0)+IF($R4="wok",2,0)+IF($U4="wok",1,0)</f>
        <v>5</v>
      </c>
      <c r="Z4" s="330">
        <f>IF($F4="brk",6,0)+IF($I4="brk",5,0)+IF($L4="brk",4,0)+IF($O4="brk",3,0)+IF($R4="brk",2,0)+IF($U4="brk",1,0)</f>
        <v>6</v>
      </c>
      <c r="AA4" s="330">
        <f aca="true" t="shared" si="0" ref="AA4:AA15">IF($F4="w&amp;m",6,0)+IF($I4="w&amp;m",5,0)+IF($L4="w&amp;m",4,0)+IF($O4="w&amp;m",3,0)+IF($R4="w&amp;m",2,0)+IF($U4="w&amp;m",1,0)</f>
        <v>5</v>
      </c>
      <c r="AB4" s="330">
        <f>IF($F4="sl",6,0)+IF($I4="sl",5,0)+IF($L4="sl",4,0)+IF($O4="sl",3,0)+IF($R4="sl",2,0)+IF($U4="sl",1,0)</f>
        <v>4</v>
      </c>
    </row>
    <row r="5" spans="1:28" ht="19.5" customHeight="1">
      <c r="A5" s="33" t="s">
        <v>66</v>
      </c>
      <c r="B5" s="56">
        <v>0.0015775462962962963</v>
      </c>
      <c r="C5" s="56">
        <v>0.0016087962962962963</v>
      </c>
      <c r="D5" s="56">
        <v>0.0015624999999999999</v>
      </c>
      <c r="E5" s="48" t="str">
        <f>jg!$C25</f>
        <v>Hannah Roberts</v>
      </c>
      <c r="F5" s="48" t="str">
        <f>jg!$D25</f>
        <v>WOK</v>
      </c>
      <c r="G5" s="317">
        <f>jg!$E25</f>
        <v>0.0016041666666666667</v>
      </c>
      <c r="H5" s="48" t="str">
        <f>jg!$C26</f>
        <v>Susie Mair</v>
      </c>
      <c r="I5" s="48" t="str">
        <f>jg!$D26</f>
        <v>BRK</v>
      </c>
      <c r="J5" s="50">
        <f>jg!$E26</f>
        <v>0.0016886574074074076</v>
      </c>
      <c r="K5" s="48" t="str">
        <f>jg!$C27</f>
        <v>T Weavers</v>
      </c>
      <c r="L5" s="48" t="str">
        <f>jg!$D27</f>
        <v>WOK</v>
      </c>
      <c r="M5" s="50">
        <f>jg!$E27</f>
        <v>0.001707175925925926</v>
      </c>
      <c r="N5" s="48" t="str">
        <f>jg!$C28</f>
        <v>Freya Jones</v>
      </c>
      <c r="O5" s="48" t="str">
        <f>jg!$D28</f>
        <v>W&amp;M</v>
      </c>
      <c r="P5" s="50">
        <f>jg!$E28</f>
        <v>0.0017511574074074072</v>
      </c>
      <c r="Q5" s="48" t="str">
        <f>jg!$C29</f>
        <v>M Stark</v>
      </c>
      <c r="R5" s="48" t="str">
        <f>jg!$D29</f>
        <v>BRK</v>
      </c>
      <c r="S5" s="50">
        <f>jg!$E29</f>
        <v>0.0017604166666666669</v>
      </c>
      <c r="T5" s="48" t="str">
        <f>jg!$C30</f>
        <v>Isabelle Craven</v>
      </c>
      <c r="U5" s="48" t="str">
        <f>jg!$D30</f>
        <v>W&amp;M</v>
      </c>
      <c r="V5" s="50">
        <f>jg!$E30</f>
        <v>0.0017638888888888888</v>
      </c>
      <c r="W5" s="329">
        <f aca="true" t="shared" si="1" ref="W5:W15">IF($F5="wb",6,0)+IF($I5="wb",5,0)+IF($L5="wb",4,0)+IF($O5="wb",3,0)+IF($R5="wb",2,0)+IF($U5="wb",1,0)</f>
        <v>0</v>
      </c>
      <c r="X5" s="330">
        <f aca="true" t="shared" si="2" ref="X5:X15">IF($F5="rdg",6,0)+IF($I5="rdg",5,0)+IF($L5="rdg",4,0)+IF($O5="rdg",3,0)+IF($R5="rdg",2,0)+IF($U5="rdg",1,0)</f>
        <v>0</v>
      </c>
      <c r="Y5" s="330">
        <f aca="true" t="shared" si="3" ref="Y5:Y15">IF($F5="wok",6,0)+IF($I5="wok",5,0)+IF($L5="wok",4,0)+IF($O5="wok",3,0)+IF($R5="wok",2,0)+IF($U5="wok",1,0)</f>
        <v>10</v>
      </c>
      <c r="Z5" s="330">
        <f aca="true" t="shared" si="4" ref="Z5:Z15">IF($F5="brk",6,0)+IF($I5="brk",5,0)+IF($L5="brk",4,0)+IF($O5="brk",3,0)+IF($R5="brk",2,0)+IF($U5="brk",1,0)</f>
        <v>7</v>
      </c>
      <c r="AA5" s="330">
        <f t="shared" si="0"/>
        <v>4</v>
      </c>
      <c r="AB5" s="330">
        <f aca="true" t="shared" si="5" ref="AB5:AB15">IF($F5="sl",6,0)+IF($I5="sl",5,0)+IF($L5="sl",4,0)+IF($O5="sl",3,0)+IF($R5="sl",2,0)+IF($U5="sl",1,0)</f>
        <v>0</v>
      </c>
    </row>
    <row r="6" spans="1:28" ht="19.5" customHeight="1">
      <c r="A6" s="33" t="s">
        <v>67</v>
      </c>
      <c r="B6" s="56">
        <v>0.0032407407407407406</v>
      </c>
      <c r="C6" s="56">
        <v>0.003356481481481481</v>
      </c>
      <c r="D6" s="56">
        <v>0.0032407407407407406</v>
      </c>
      <c r="E6" s="48" t="str">
        <f>jg!$C69</f>
        <v>Amy Young</v>
      </c>
      <c r="F6" s="48" t="str">
        <f>jg!$D69</f>
        <v>BRK</v>
      </c>
      <c r="G6" s="50">
        <f>jg!$E69</f>
        <v>0.003421296296296296</v>
      </c>
      <c r="H6" s="48" t="str">
        <f>jg!$C70</f>
        <v>Lucy Wells</v>
      </c>
      <c r="I6" s="48" t="str">
        <f>jg!$D70</f>
        <v>WB</v>
      </c>
      <c r="J6" s="50">
        <f>jg!$E70</f>
        <v>0.0034328703703703704</v>
      </c>
      <c r="K6" s="48" t="str">
        <f>jg!$C71</f>
        <v>Eloisa Harris</v>
      </c>
      <c r="L6" s="48" t="str">
        <f>jg!$D71</f>
        <v>W&amp;M</v>
      </c>
      <c r="M6" s="50">
        <f>jg!$E71</f>
        <v>0.0034976851851851853</v>
      </c>
      <c r="N6" s="48" t="str">
        <f>jg!$C72</f>
        <v>Jasmine Young</v>
      </c>
      <c r="O6" s="48" t="str">
        <f>jg!$D72</f>
        <v>BRK</v>
      </c>
      <c r="P6" s="50">
        <f>jg!$E72</f>
        <v>0.003503472222222222</v>
      </c>
      <c r="Q6" s="48" t="str">
        <f>jg!$C73</f>
        <v>Naomi Harris</v>
      </c>
      <c r="R6" s="48" t="str">
        <f>jg!$D73</f>
        <v>RDG</v>
      </c>
      <c r="S6" s="50">
        <f>jg!$E73</f>
        <v>0.003519675925925926</v>
      </c>
      <c r="T6" s="48" t="str">
        <f>jg!$C74</f>
        <v>Nicola Lee</v>
      </c>
      <c r="U6" s="48" t="str">
        <f>jg!$D74</f>
        <v>RDG</v>
      </c>
      <c r="V6" s="50">
        <f>jg!$E74</f>
        <v>0.0035335648148148145</v>
      </c>
      <c r="W6" s="329">
        <f t="shared" si="1"/>
        <v>5</v>
      </c>
      <c r="X6" s="330">
        <f t="shared" si="2"/>
        <v>3</v>
      </c>
      <c r="Y6" s="330">
        <f t="shared" si="3"/>
        <v>0</v>
      </c>
      <c r="Z6" s="330">
        <f t="shared" si="4"/>
        <v>9</v>
      </c>
      <c r="AA6" s="330">
        <f t="shared" si="0"/>
        <v>4</v>
      </c>
      <c r="AB6" s="330">
        <f t="shared" si="5"/>
        <v>0</v>
      </c>
    </row>
    <row r="7" spans="1:28" ht="19.5" customHeight="1">
      <c r="A7" s="33" t="s">
        <v>68</v>
      </c>
      <c r="B7" s="34">
        <v>11.3</v>
      </c>
      <c r="C7" s="34">
        <v>11.7</v>
      </c>
      <c r="D7" s="34">
        <v>11.4</v>
      </c>
      <c r="E7" s="48" t="str">
        <f>jg!$C86</f>
        <v>L Watkins</v>
      </c>
      <c r="F7" s="48" t="str">
        <f>jg!$D86</f>
        <v>WOK</v>
      </c>
      <c r="G7" s="48">
        <f>jg!$E86</f>
        <v>11.8</v>
      </c>
      <c r="H7" s="48" t="str">
        <f>jg!$C87</f>
        <v>C Eames</v>
      </c>
      <c r="I7" s="48" t="str">
        <f>jg!$D87</f>
        <v>WOK</v>
      </c>
      <c r="J7" s="48">
        <f>jg!$E87</f>
        <v>11.9</v>
      </c>
      <c r="K7" s="48" t="str">
        <f>jg!$C88</f>
        <v>H Savey-Bennett</v>
      </c>
      <c r="L7" s="48" t="str">
        <f>jg!$D88</f>
        <v>BRK</v>
      </c>
      <c r="M7" s="48">
        <f>jg!$E88</f>
        <v>12.5</v>
      </c>
      <c r="N7" s="48" t="str">
        <f>jg!$C89</f>
        <v>E Pickford</v>
      </c>
      <c r="O7" s="48" t="str">
        <f>jg!$D89</f>
        <v>WOK</v>
      </c>
      <c r="P7" s="48">
        <f>jg!$E89</f>
        <v>12.7</v>
      </c>
      <c r="Q7" s="48" t="str">
        <f>jg!$C90</f>
        <v>A Hamilton</v>
      </c>
      <c r="R7" s="48" t="str">
        <f>jg!$D90</f>
        <v>WB</v>
      </c>
      <c r="S7" s="48">
        <f>jg!$E90</f>
        <v>12.8</v>
      </c>
      <c r="T7" s="48" t="str">
        <f>jg!$C91</f>
        <v>A McArthur</v>
      </c>
      <c r="U7" s="48" t="str">
        <f>jg!$D91</f>
        <v>BRK</v>
      </c>
      <c r="V7" s="48">
        <f>jg!$E91</f>
        <v>12.9</v>
      </c>
      <c r="W7" s="329">
        <f t="shared" si="1"/>
        <v>2</v>
      </c>
      <c r="X7" s="330">
        <f t="shared" si="2"/>
        <v>0</v>
      </c>
      <c r="Y7" s="330">
        <f t="shared" si="3"/>
        <v>14</v>
      </c>
      <c r="Z7" s="330">
        <f t="shared" si="4"/>
        <v>5</v>
      </c>
      <c r="AA7" s="330">
        <f t="shared" si="0"/>
        <v>0</v>
      </c>
      <c r="AB7" s="330">
        <f t="shared" si="5"/>
        <v>0</v>
      </c>
    </row>
    <row r="8" spans="1:28" ht="19.5" customHeight="1">
      <c r="A8" s="33"/>
      <c r="B8" s="34"/>
      <c r="C8" s="34"/>
      <c r="D8" s="34"/>
      <c r="E8" s="33"/>
      <c r="F8" s="33"/>
      <c r="G8" s="33"/>
      <c r="W8" s="329"/>
      <c r="X8" s="330"/>
      <c r="Y8" s="330"/>
      <c r="Z8" s="330"/>
      <c r="AA8" s="330"/>
      <c r="AB8" s="330"/>
    </row>
    <row r="9" spans="1:28" ht="19.5" customHeight="1">
      <c r="A9" s="33" t="s">
        <v>69</v>
      </c>
      <c r="B9" s="34">
        <v>5.43</v>
      </c>
      <c r="C9" s="35">
        <v>5.05</v>
      </c>
      <c r="D9" s="35">
        <v>5.2</v>
      </c>
      <c r="E9" s="36" t="str">
        <f>jg!$C128</f>
        <v>Rachel Okoro</v>
      </c>
      <c r="F9" s="36" t="str">
        <f>jg!$D128</f>
        <v>W&amp;M</v>
      </c>
      <c r="G9" s="36">
        <f>jg!$E128</f>
        <v>4.97</v>
      </c>
      <c r="H9" s="48" t="str">
        <f>jg!$C129</f>
        <v>A Montague</v>
      </c>
      <c r="I9" s="48" t="str">
        <f>jg!$D129</f>
        <v>WB</v>
      </c>
      <c r="J9" s="36">
        <f>jg!$E129</f>
        <v>4.7</v>
      </c>
      <c r="K9" s="36" t="str">
        <f>jg!$C130</f>
        <v>L Griffiths</v>
      </c>
      <c r="L9" s="36" t="str">
        <f>jg!$D130</f>
        <v>BRK</v>
      </c>
      <c r="M9" s="36">
        <f>jg!$E130</f>
        <v>4.58</v>
      </c>
      <c r="N9" s="36" t="str">
        <f>jg!$C131</f>
        <v>J Hugh-Smith</v>
      </c>
      <c r="O9" s="36" t="str">
        <f>jg!$D131</f>
        <v>BRK</v>
      </c>
      <c r="P9" s="36">
        <f>jg!$E131</f>
        <v>4.38</v>
      </c>
      <c r="Q9" s="36" t="str">
        <f>jg!$C132</f>
        <v>K Treglown</v>
      </c>
      <c r="R9" s="36" t="str">
        <f>jg!$D132</f>
        <v>WOK</v>
      </c>
      <c r="S9" s="36">
        <f>jg!$E132</f>
        <v>4.29</v>
      </c>
      <c r="T9" s="36" t="str">
        <f>jg!$C133</f>
        <v>Amelia Hanson</v>
      </c>
      <c r="U9" s="36" t="str">
        <f>jg!$D133</f>
        <v>RDG</v>
      </c>
      <c r="V9" s="36">
        <f>jg!$E133</f>
        <v>4.26</v>
      </c>
      <c r="W9" s="329">
        <f t="shared" si="1"/>
        <v>5</v>
      </c>
      <c r="X9" s="330">
        <f t="shared" si="2"/>
        <v>1</v>
      </c>
      <c r="Y9" s="330">
        <f t="shared" si="3"/>
        <v>2</v>
      </c>
      <c r="Z9" s="330">
        <f t="shared" si="4"/>
        <v>7</v>
      </c>
      <c r="AA9" s="330">
        <f t="shared" si="0"/>
        <v>6</v>
      </c>
      <c r="AB9" s="330">
        <f t="shared" si="5"/>
        <v>0</v>
      </c>
    </row>
    <row r="10" spans="1:28" ht="19.5" customHeight="1">
      <c r="A10" s="33" t="s">
        <v>70</v>
      </c>
      <c r="B10" s="34">
        <v>38.18</v>
      </c>
      <c r="C10" s="35">
        <v>27</v>
      </c>
      <c r="D10" s="35">
        <v>30</v>
      </c>
      <c r="E10" s="36" t="str">
        <f>jg!$C144</f>
        <v>Anjelina Manase</v>
      </c>
      <c r="F10" s="36" t="str">
        <f>jg!$D144</f>
        <v>RDG</v>
      </c>
      <c r="G10" s="319">
        <f>jg!$E144</f>
        <v>30.1</v>
      </c>
      <c r="H10" s="48" t="str">
        <f>jg!$C145</f>
        <v>Zoe Obamakinwa</v>
      </c>
      <c r="I10" s="48" t="str">
        <f>jg!$D145</f>
        <v>RDG</v>
      </c>
      <c r="J10" s="319">
        <f>jg!$E145</f>
        <v>30.07</v>
      </c>
      <c r="K10" s="36" t="str">
        <f>jg!$C146</f>
        <v>S Wheadon</v>
      </c>
      <c r="L10" s="36" t="str">
        <f>jg!$D146</f>
        <v>WB</v>
      </c>
      <c r="M10" s="36">
        <f>jg!$E146</f>
        <v>25.23</v>
      </c>
      <c r="N10" s="36" t="str">
        <f>jg!$C147</f>
        <v>L Mokhothu</v>
      </c>
      <c r="O10" s="36" t="str">
        <f>jg!$D147</f>
        <v>BRK</v>
      </c>
      <c r="P10" s="36">
        <f>jg!$E147</f>
        <v>23.77</v>
      </c>
      <c r="Q10" s="36" t="str">
        <f>jg!$C148</f>
        <v>C Dyer-Grimes</v>
      </c>
      <c r="R10" s="36" t="str">
        <f>jg!$D148</f>
        <v>BRK</v>
      </c>
      <c r="S10" s="36">
        <f>jg!$E148</f>
        <v>23.72</v>
      </c>
      <c r="T10" s="36" t="str">
        <f>jg!$C149</f>
        <v>Azeezah Okoyo</v>
      </c>
      <c r="U10" s="36" t="str">
        <f>jg!$D149</f>
        <v>W&amp;M</v>
      </c>
      <c r="V10" s="36">
        <f>jg!$E149</f>
        <v>14.73</v>
      </c>
      <c r="W10" s="329">
        <f t="shared" si="1"/>
        <v>4</v>
      </c>
      <c r="X10" s="330">
        <f t="shared" si="2"/>
        <v>11</v>
      </c>
      <c r="Y10" s="330">
        <f t="shared" si="3"/>
        <v>0</v>
      </c>
      <c r="Z10" s="330">
        <f t="shared" si="4"/>
        <v>5</v>
      </c>
      <c r="AA10" s="330">
        <f t="shared" si="0"/>
        <v>1</v>
      </c>
      <c r="AB10" s="330">
        <f t="shared" si="5"/>
        <v>0</v>
      </c>
    </row>
    <row r="11" spans="1:28" ht="19.5" customHeight="1">
      <c r="A11" s="33" t="s">
        <v>71</v>
      </c>
      <c r="B11" s="34">
        <v>11.48</v>
      </c>
      <c r="C11" s="35">
        <v>10.6</v>
      </c>
      <c r="D11" s="35">
        <v>11.2</v>
      </c>
      <c r="E11" s="36" t="str">
        <f>jg!$C160</f>
        <v>E Armstrong</v>
      </c>
      <c r="F11" s="36" t="str">
        <f>jg!$D160</f>
        <v>WB</v>
      </c>
      <c r="G11" s="36">
        <f>jg!$E160</f>
        <v>9.93</v>
      </c>
      <c r="H11" s="48" t="str">
        <f>jg!$C161</f>
        <v>Jardae Hodge-Spencer</v>
      </c>
      <c r="I11" s="48" t="str">
        <f>jg!$D161</f>
        <v>SL</v>
      </c>
      <c r="J11" s="36">
        <f>jg!$E161</f>
        <v>9.73</v>
      </c>
      <c r="K11" s="36" t="str">
        <f>jg!$C162</f>
        <v>A Blundell</v>
      </c>
      <c r="L11" s="36" t="str">
        <f>jg!$D162</f>
        <v>BRK</v>
      </c>
      <c r="M11" s="36">
        <f>jg!$E162</f>
        <v>9.35</v>
      </c>
      <c r="N11" s="36" t="str">
        <f>jg!$C163</f>
        <v>L Gryce</v>
      </c>
      <c r="O11" s="36" t="str">
        <f>jg!$D163</f>
        <v>BRK</v>
      </c>
      <c r="P11" s="36">
        <f>jg!$E163</f>
        <v>9.25</v>
      </c>
      <c r="Q11" s="36" t="str">
        <f>jg!$C164</f>
        <v>Gabby Powell</v>
      </c>
      <c r="R11" s="36" t="str">
        <f>jg!$D164</f>
        <v>W&amp;M</v>
      </c>
      <c r="S11" s="36">
        <f>jg!$E164</f>
        <v>9.24</v>
      </c>
      <c r="T11" s="36" t="str">
        <f>jg!$C165</f>
        <v>Charlotte Gofroth</v>
      </c>
      <c r="U11" s="36" t="str">
        <f>jg!$D165</f>
        <v>RDG</v>
      </c>
      <c r="V11" s="36">
        <f>jg!$E165</f>
        <v>9.06</v>
      </c>
      <c r="W11" s="329">
        <f t="shared" si="1"/>
        <v>6</v>
      </c>
      <c r="X11" s="330">
        <f t="shared" si="2"/>
        <v>1</v>
      </c>
      <c r="Y11" s="330">
        <f t="shared" si="3"/>
        <v>0</v>
      </c>
      <c r="Z11" s="330">
        <f t="shared" si="4"/>
        <v>7</v>
      </c>
      <c r="AA11" s="330">
        <f t="shared" si="0"/>
        <v>2</v>
      </c>
      <c r="AB11" s="330">
        <f t="shared" si="5"/>
        <v>5</v>
      </c>
    </row>
    <row r="12" spans="1:28" ht="19.5" customHeight="1">
      <c r="A12" s="33" t="s">
        <v>72</v>
      </c>
      <c r="B12" s="34">
        <v>1.67</v>
      </c>
      <c r="C12" s="35">
        <v>1.57</v>
      </c>
      <c r="D12" s="35">
        <v>1.63</v>
      </c>
      <c r="E12" s="36" t="str">
        <f>jg!$C176</f>
        <v>I Parsons</v>
      </c>
      <c r="F12" s="36" t="str">
        <f>jg!$D176</f>
        <v>WOK</v>
      </c>
      <c r="G12" s="36">
        <f>jg!$E176</f>
        <v>1.5</v>
      </c>
      <c r="H12" s="48" t="str">
        <f>jg!$C177</f>
        <v>Zoe Allanson</v>
      </c>
      <c r="I12" s="48" t="str">
        <f>jg!$D177</f>
        <v>W&amp;M</v>
      </c>
      <c r="J12" s="36">
        <f>jg!$E177</f>
        <v>1.48</v>
      </c>
      <c r="K12" s="36" t="str">
        <f>jg!$C178</f>
        <v>Bella Cooper</v>
      </c>
      <c r="L12" s="36" t="str">
        <f>jg!$D178</f>
        <v>RDG</v>
      </c>
      <c r="M12" s="36">
        <f>jg!$E178</f>
        <v>1.45</v>
      </c>
      <c r="N12" s="36" t="str">
        <f>jg!$C179</f>
        <v>I Pennycooke</v>
      </c>
      <c r="O12" s="36" t="str">
        <f>jg!$D179</f>
        <v>BRK</v>
      </c>
      <c r="P12" s="36">
        <f>jg!$E179</f>
        <v>1.4</v>
      </c>
      <c r="Q12" s="36" t="str">
        <f>jg!$C180</f>
        <v>R Losei-Ingham</v>
      </c>
      <c r="R12" s="36" t="str">
        <f>jg!$D180</f>
        <v>WOK</v>
      </c>
      <c r="S12" s="36">
        <f>jg!$E180</f>
        <v>1.35</v>
      </c>
      <c r="T12" s="36" t="str">
        <f>jg!$C181</f>
        <v>B Jordan</v>
      </c>
      <c r="U12" s="36" t="str">
        <f>jg!$D181</f>
        <v>BRK</v>
      </c>
      <c r="V12" s="36">
        <f>jg!$E181</f>
        <v>1.35</v>
      </c>
      <c r="W12" s="329">
        <f t="shared" si="1"/>
        <v>0</v>
      </c>
      <c r="X12" s="330">
        <f t="shared" si="2"/>
        <v>4</v>
      </c>
      <c r="Y12" s="330">
        <f t="shared" si="3"/>
        <v>8</v>
      </c>
      <c r="Z12" s="330">
        <f t="shared" si="4"/>
        <v>4</v>
      </c>
      <c r="AA12" s="330">
        <f t="shared" si="0"/>
        <v>5</v>
      </c>
      <c r="AB12" s="330">
        <f t="shared" si="5"/>
        <v>0</v>
      </c>
    </row>
    <row r="13" spans="1:28" ht="19.5" customHeight="1">
      <c r="A13" s="33" t="s">
        <v>73</v>
      </c>
      <c r="B13" s="34">
        <v>37.32</v>
      </c>
      <c r="C13" s="35">
        <v>34</v>
      </c>
      <c r="D13" s="35">
        <v>36</v>
      </c>
      <c r="E13" s="36" t="str">
        <f>jg!$C192</f>
        <v>P Hoaen</v>
      </c>
      <c r="F13" s="36" t="str">
        <f>jg!$D192</f>
        <v>WB</v>
      </c>
      <c r="G13" s="36">
        <f>jg!$E192</f>
        <v>33.26</v>
      </c>
      <c r="H13" s="48" t="str">
        <f>jg!$C193</f>
        <v>A Miller</v>
      </c>
      <c r="I13" s="48" t="str">
        <f>jg!$D193</f>
        <v>WOK</v>
      </c>
      <c r="J13" s="36">
        <f>jg!$E193</f>
        <v>32.17</v>
      </c>
      <c r="K13" s="36" t="str">
        <f>jg!$C194</f>
        <v>LanaWallis</v>
      </c>
      <c r="L13" s="36" t="str">
        <f>jg!$D194</f>
        <v>W&amp;M</v>
      </c>
      <c r="M13" s="36">
        <f>jg!$E194</f>
        <v>31.54</v>
      </c>
      <c r="N13" s="36" t="str">
        <f>jg!$C195</f>
        <v>D Dijksman</v>
      </c>
      <c r="O13" s="36" t="str">
        <f>jg!$D195</f>
        <v>WB</v>
      </c>
      <c r="P13" s="36">
        <f>jg!$E195</f>
        <v>28.53</v>
      </c>
      <c r="Q13" s="36" t="str">
        <f>jg!$C196</f>
        <v>P Whitmore</v>
      </c>
      <c r="R13" s="36" t="str">
        <f>jg!$D196</f>
        <v>BRK</v>
      </c>
      <c r="S13" s="36">
        <f>jg!$E196</f>
        <v>22.3</v>
      </c>
      <c r="T13" s="36" t="str">
        <f>jg!$C197</f>
        <v>T Moore</v>
      </c>
      <c r="U13" s="36" t="str">
        <f>jg!$D197</f>
        <v>BRK</v>
      </c>
      <c r="V13" s="36">
        <f>jg!$E197</f>
        <v>20.45</v>
      </c>
      <c r="W13" s="329">
        <f t="shared" si="1"/>
        <v>9</v>
      </c>
      <c r="X13" s="330">
        <f t="shared" si="2"/>
        <v>0</v>
      </c>
      <c r="Y13" s="330">
        <f t="shared" si="3"/>
        <v>5</v>
      </c>
      <c r="Z13" s="330">
        <f t="shared" si="4"/>
        <v>3</v>
      </c>
      <c r="AA13" s="330">
        <f t="shared" si="0"/>
        <v>4</v>
      </c>
      <c r="AB13" s="330">
        <f t="shared" si="5"/>
        <v>0</v>
      </c>
    </row>
    <row r="14" spans="1:28" ht="19.5" customHeight="1">
      <c r="A14" s="33" t="s">
        <v>79</v>
      </c>
      <c r="B14" s="34">
        <v>2.6</v>
      </c>
      <c r="C14" s="35">
        <v>2.75</v>
      </c>
      <c r="D14" s="35">
        <v>3.05</v>
      </c>
      <c r="E14" s="36" t="str">
        <f>jg!C215</f>
        <v>Sinead Marshall</v>
      </c>
      <c r="F14" s="36" t="str">
        <f>jg!D215</f>
        <v>WB</v>
      </c>
      <c r="G14" s="36">
        <f>jg!E215</f>
        <v>2.55</v>
      </c>
      <c r="H14" s="48" t="str">
        <f>jg!C216</f>
        <v>A Ceccato</v>
      </c>
      <c r="I14" s="48" t="str">
        <f>jg!D216</f>
        <v>BRK</v>
      </c>
      <c r="J14" s="36">
        <f>jg!E216</f>
        <v>1.9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29">
        <f t="shared" si="1"/>
        <v>6</v>
      </c>
      <c r="X14" s="330">
        <f t="shared" si="2"/>
        <v>0</v>
      </c>
      <c r="Y14" s="330">
        <f t="shared" si="3"/>
        <v>0</v>
      </c>
      <c r="Z14" s="330">
        <f t="shared" si="4"/>
        <v>5</v>
      </c>
      <c r="AA14" s="330">
        <f t="shared" si="0"/>
        <v>0</v>
      </c>
      <c r="AB14" s="330">
        <f t="shared" si="5"/>
        <v>0</v>
      </c>
    </row>
    <row r="15" spans="1:28" ht="19.5" customHeight="1">
      <c r="A15" s="33" t="s">
        <v>738</v>
      </c>
      <c r="B15" s="34">
        <v>47.62</v>
      </c>
      <c r="C15" s="34">
        <v>36</v>
      </c>
      <c r="D15" s="34">
        <v>44</v>
      </c>
      <c r="E15" s="33" t="str">
        <f>jg!C208</f>
        <v>Amy Luke</v>
      </c>
      <c r="F15" s="33" t="str">
        <f>jg!D208</f>
        <v>RDG</v>
      </c>
      <c r="G15" s="33">
        <f>jg!E208</f>
        <v>26.15</v>
      </c>
      <c r="H15" s="33" t="str">
        <f>jg!C209</f>
        <v>Jessica Woodford</v>
      </c>
      <c r="I15" s="33" t="str">
        <f>jg!D209</f>
        <v>SL</v>
      </c>
      <c r="J15" s="33">
        <f>jg!E209</f>
        <v>20</v>
      </c>
      <c r="W15" s="329">
        <f t="shared" si="1"/>
        <v>0</v>
      </c>
      <c r="X15" s="330">
        <f t="shared" si="2"/>
        <v>6</v>
      </c>
      <c r="Y15" s="330">
        <f t="shared" si="3"/>
        <v>0</v>
      </c>
      <c r="Z15" s="330">
        <f t="shared" si="4"/>
        <v>0</v>
      </c>
      <c r="AA15" s="330">
        <f t="shared" si="0"/>
        <v>0</v>
      </c>
      <c r="AB15" s="330">
        <f t="shared" si="5"/>
        <v>5</v>
      </c>
    </row>
    <row r="16" spans="20:28" ht="19.5" customHeight="1">
      <c r="T16" s="27" t="s">
        <v>74</v>
      </c>
      <c r="W16" s="327">
        <f>SUM(W3:W15)</f>
        <v>37</v>
      </c>
      <c r="X16" s="328">
        <f>SUM(X3:X15)</f>
        <v>27</v>
      </c>
      <c r="Y16" s="328">
        <f>SUM(Y3:Y15)</f>
        <v>51</v>
      </c>
      <c r="Z16" s="328">
        <f>SUM(Z3:Z13)</f>
        <v>60</v>
      </c>
      <c r="AA16" s="328">
        <f>SUM(AA3:AA13)</f>
        <v>33</v>
      </c>
      <c r="AB16" s="328">
        <f>SUM(AB3:AB15)</f>
        <v>19</v>
      </c>
    </row>
    <row r="17" ht="12.75">
      <c r="A17" s="154"/>
    </row>
  </sheetData>
  <sheetProtection/>
  <printOptions gridLines="1"/>
  <pageMargins left="0" right="0" top="1.5748031496062993" bottom="0.3937007874015748" header="0.3937007874015748" footer="0.1968503937007874"/>
  <pageSetup horizontalDpi="300" verticalDpi="300" orientation="landscape" paperSize="9" r:id="rId2"/>
  <headerFooter alignWithMargins="0">
    <oddHeader>&amp;L&amp;G&amp;C&amp;"Arial,Bold"&amp;18Berkshire Schools Track &amp;&amp; Field Championships
Saturday, 12 June 2010
Palmer Park Reading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R291"/>
  <sheetViews>
    <sheetView zoomScalePageLayoutView="0" workbookViewId="0" topLeftCell="A1">
      <pane ySplit="1" topLeftCell="A113" activePane="bottomLeft" state="frozen"/>
      <selection pane="topLeft" activeCell="A1" sqref="A1"/>
      <selection pane="bottomLeft" activeCell="C148" sqref="C148"/>
    </sheetView>
  </sheetViews>
  <sheetFormatPr defaultColWidth="9.140625" defaultRowHeight="12.75"/>
  <cols>
    <col min="2" max="2" width="9.140625" style="144" customWidth="1"/>
    <col min="3" max="3" width="10.28125" style="0" customWidth="1"/>
    <col min="5" max="5" width="9.140625" style="144" customWidth="1"/>
    <col min="7" max="8" width="4.57421875" style="55" customWidth="1"/>
    <col min="11" max="11" width="9.140625" style="161" customWidth="1"/>
    <col min="17" max="18" width="4.28125" style="55" customWidth="1"/>
  </cols>
  <sheetData>
    <row r="1" spans="1:18" s="14" customFormat="1" ht="12.75">
      <c r="A1" s="14" t="s">
        <v>34</v>
      </c>
      <c r="B1" s="143"/>
      <c r="E1" s="143"/>
      <c r="G1" s="51"/>
      <c r="H1" s="51"/>
      <c r="K1" s="160"/>
      <c r="Q1" s="51"/>
      <c r="R1" s="51"/>
    </row>
    <row r="3" spans="1:18" s="14" customFormat="1" ht="12.75">
      <c r="A3" s="14" t="s">
        <v>35</v>
      </c>
      <c r="B3" s="143"/>
      <c r="E3" s="143"/>
      <c r="G3" s="51"/>
      <c r="H3" s="51"/>
      <c r="K3" s="160"/>
      <c r="Q3" s="51"/>
      <c r="R3" s="51"/>
    </row>
    <row r="4" ht="12.75">
      <c r="A4" t="s">
        <v>32</v>
      </c>
    </row>
    <row r="5" spans="1:16" ht="12.75">
      <c r="A5" s="1" t="s">
        <v>0</v>
      </c>
      <c r="B5" s="134" t="s">
        <v>1</v>
      </c>
      <c r="C5" s="3" t="s">
        <v>2</v>
      </c>
      <c r="D5" s="4" t="s">
        <v>3</v>
      </c>
      <c r="E5" s="147" t="s">
        <v>4</v>
      </c>
      <c r="F5" s="16" t="s">
        <v>114</v>
      </c>
      <c r="I5" t="s">
        <v>6</v>
      </c>
      <c r="J5" s="12">
        <v>11.5</v>
      </c>
      <c r="K5" s="159" t="s">
        <v>216</v>
      </c>
      <c r="L5" s="2"/>
      <c r="M5" s="3"/>
      <c r="N5" s="4"/>
      <c r="O5" s="5"/>
      <c r="P5" s="16"/>
    </row>
    <row r="6" spans="1:15" ht="12.75">
      <c r="A6" s="6">
        <v>1</v>
      </c>
      <c r="B6" s="138"/>
      <c r="C6" s="8">
        <f aca="true" t="shared" si="0" ref="C6:C11">IF(OR($B6=0,$B6=""),"",VLOOKUP($B6,jb100m,2,FALSE))</f>
      </c>
      <c r="D6" s="8">
        <f aca="true" t="shared" si="1" ref="D6:D11">IF(OR($B6=0,$B6=""),"",VLOOKUP($B6,jb100m,3,FALSE))</f>
      </c>
      <c r="E6" s="148"/>
      <c r="G6" s="55">
        <f>IF(E6="","",IF(E6&gt;J5,"","CBP"))</f>
      </c>
      <c r="H6" s="55">
        <f aca="true" t="shared" si="2" ref="H6:H19">IF(E6="","",IF(E6&gt;J$6,"","ESQ"))</f>
      </c>
      <c r="I6" t="s">
        <v>26</v>
      </c>
      <c r="J6" s="12">
        <v>11.8</v>
      </c>
      <c r="K6" s="158"/>
      <c r="L6" s="7"/>
      <c r="M6" s="8"/>
      <c r="N6" s="8"/>
      <c r="O6" s="9"/>
    </row>
    <row r="7" spans="1:15" ht="12.75">
      <c r="A7" s="6">
        <v>2</v>
      </c>
      <c r="B7" s="138"/>
      <c r="C7" s="8">
        <f t="shared" si="0"/>
      </c>
      <c r="D7" s="8">
        <f t="shared" si="1"/>
      </c>
      <c r="E7" s="148"/>
      <c r="H7" s="55">
        <f t="shared" si="2"/>
      </c>
      <c r="J7" s="12"/>
      <c r="K7" s="158"/>
      <c r="L7" s="7"/>
      <c r="M7" s="8"/>
      <c r="N7" s="8"/>
      <c r="O7" s="9"/>
    </row>
    <row r="8" spans="1:16" ht="12.75">
      <c r="A8" s="6">
        <v>3</v>
      </c>
      <c r="B8" s="145"/>
      <c r="C8" s="8">
        <f t="shared" si="0"/>
      </c>
      <c r="D8" s="8">
        <f t="shared" si="1"/>
      </c>
      <c r="E8" s="148"/>
      <c r="F8" s="42"/>
      <c r="H8" s="55">
        <f t="shared" si="2"/>
      </c>
      <c r="J8" s="12"/>
      <c r="K8" s="158"/>
      <c r="L8" s="7"/>
      <c r="M8" s="8"/>
      <c r="N8" s="8"/>
      <c r="O8" s="9"/>
      <c r="P8" s="42"/>
    </row>
    <row r="9" spans="1:15" ht="12.75">
      <c r="A9" s="6">
        <v>4</v>
      </c>
      <c r="B9" s="141"/>
      <c r="C9" s="8">
        <f t="shared" si="0"/>
      </c>
      <c r="D9" s="8">
        <f t="shared" si="1"/>
      </c>
      <c r="E9" s="148"/>
      <c r="F9" s="42"/>
      <c r="H9" s="55">
        <f t="shared" si="2"/>
      </c>
      <c r="J9" s="12"/>
      <c r="K9" s="158"/>
      <c r="L9" s="7"/>
      <c r="M9" s="8"/>
      <c r="N9" s="8"/>
      <c r="O9" s="9"/>
    </row>
    <row r="10" spans="1:15" ht="12.75">
      <c r="A10" s="6">
        <v>5</v>
      </c>
      <c r="B10" s="132"/>
      <c r="C10" s="8">
        <f t="shared" si="0"/>
      </c>
      <c r="D10" s="8">
        <f t="shared" si="1"/>
      </c>
      <c r="E10" s="148"/>
      <c r="H10" s="55">
        <f t="shared" si="2"/>
      </c>
      <c r="J10" s="12"/>
      <c r="K10" s="158"/>
      <c r="L10" s="7"/>
      <c r="M10" s="8"/>
      <c r="N10" s="8"/>
      <c r="O10" s="9"/>
    </row>
    <row r="11" spans="1:15" ht="12.75">
      <c r="A11" s="6">
        <v>6</v>
      </c>
      <c r="B11" s="145"/>
      <c r="C11" s="8">
        <f t="shared" si="0"/>
      </c>
      <c r="D11" s="8">
        <f t="shared" si="1"/>
      </c>
      <c r="E11" s="148"/>
      <c r="H11" s="55">
        <f t="shared" si="2"/>
      </c>
      <c r="J11" s="12"/>
      <c r="K11" s="158"/>
      <c r="L11" s="7"/>
      <c r="M11" s="8"/>
      <c r="N11" s="8"/>
      <c r="O11" s="9"/>
    </row>
    <row r="12" spans="1:15" ht="12.75">
      <c r="A12" t="s">
        <v>33</v>
      </c>
      <c r="H12" s="55">
        <f t="shared" si="2"/>
      </c>
      <c r="J12" s="12"/>
      <c r="K12" s="158"/>
      <c r="L12" s="7"/>
      <c r="M12" s="8"/>
      <c r="N12" s="8"/>
      <c r="O12" s="9"/>
    </row>
    <row r="13" spans="1:15" ht="12.75">
      <c r="A13" s="1" t="s">
        <v>0</v>
      </c>
      <c r="B13" s="134" t="s">
        <v>1</v>
      </c>
      <c r="C13" s="3" t="s">
        <v>2</v>
      </c>
      <c r="D13" s="4" t="s">
        <v>3</v>
      </c>
      <c r="E13" s="147" t="s">
        <v>4</v>
      </c>
      <c r="F13" s="16" t="s">
        <v>114</v>
      </c>
      <c r="H13" s="55">
        <f t="shared" si="2"/>
      </c>
      <c r="J13" s="12"/>
      <c r="K13" s="158"/>
      <c r="L13" s="7"/>
      <c r="M13" s="8"/>
      <c r="N13" s="8"/>
      <c r="O13" s="9"/>
    </row>
    <row r="14" spans="1:15" ht="12.75">
      <c r="A14" s="6">
        <v>1</v>
      </c>
      <c r="B14" s="138"/>
      <c r="C14" s="8">
        <f aca="true" t="shared" si="3" ref="C14:C19">IF(OR($B14=0,$B14=""),"",VLOOKUP($B14,jb100m,2,FALSE))</f>
      </c>
      <c r="D14" s="8">
        <f aca="true" t="shared" si="4" ref="D14:D19">IF(OR($B14=0,$B14=""),"",VLOOKUP($B14,jb100m,3,FALSE))</f>
      </c>
      <c r="E14" s="148"/>
      <c r="G14" s="55">
        <f>IF(E14="","",IF(E14&gt;J5,"","CBP"))</f>
      </c>
      <c r="H14" s="55">
        <f t="shared" si="2"/>
      </c>
      <c r="J14" s="12"/>
      <c r="K14" s="158"/>
      <c r="L14" s="7"/>
      <c r="M14" s="8"/>
      <c r="N14" s="8"/>
      <c r="O14" s="9"/>
    </row>
    <row r="15" spans="1:15" ht="12.75">
      <c r="A15" s="6">
        <v>2</v>
      </c>
      <c r="B15" s="138"/>
      <c r="C15" s="8">
        <f t="shared" si="3"/>
      </c>
      <c r="D15" s="8">
        <f t="shared" si="4"/>
      </c>
      <c r="E15" s="148"/>
      <c r="H15" s="55">
        <f t="shared" si="2"/>
      </c>
      <c r="J15" s="12"/>
      <c r="K15" s="158"/>
      <c r="L15" s="7"/>
      <c r="M15" s="8"/>
      <c r="N15" s="8"/>
      <c r="O15" s="9"/>
    </row>
    <row r="16" spans="1:15" ht="12.75">
      <c r="A16" s="6">
        <v>3</v>
      </c>
      <c r="B16" s="138"/>
      <c r="C16" s="8">
        <f t="shared" si="3"/>
      </c>
      <c r="D16" s="8">
        <f t="shared" si="4"/>
      </c>
      <c r="E16" s="148"/>
      <c r="F16" s="42"/>
      <c r="H16" s="55">
        <f t="shared" si="2"/>
      </c>
      <c r="J16" s="12"/>
      <c r="K16" s="158"/>
      <c r="L16" s="7"/>
      <c r="M16" s="8"/>
      <c r="N16" s="8"/>
      <c r="O16" s="9"/>
    </row>
    <row r="17" spans="1:15" ht="12.75">
      <c r="A17" s="6">
        <v>4</v>
      </c>
      <c r="B17" s="138"/>
      <c r="C17" s="8">
        <f t="shared" si="3"/>
      </c>
      <c r="D17" s="8">
        <f t="shared" si="4"/>
      </c>
      <c r="E17" s="148"/>
      <c r="H17" s="55">
        <f t="shared" si="2"/>
      </c>
      <c r="J17" s="12"/>
      <c r="K17" s="158"/>
      <c r="L17" s="7"/>
      <c r="M17" s="8"/>
      <c r="N17" s="8"/>
      <c r="O17" s="9"/>
    </row>
    <row r="18" spans="1:15" ht="12.75">
      <c r="A18" s="6">
        <v>5</v>
      </c>
      <c r="B18" s="138"/>
      <c r="C18" s="8">
        <f t="shared" si="3"/>
      </c>
      <c r="D18" s="8">
        <f t="shared" si="4"/>
      </c>
      <c r="E18" s="148"/>
      <c r="H18" s="55">
        <f t="shared" si="2"/>
      </c>
      <c r="J18" s="12"/>
      <c r="K18" s="158"/>
      <c r="L18" s="7"/>
      <c r="M18" s="8"/>
      <c r="N18" s="8"/>
      <c r="O18" s="9"/>
    </row>
    <row r="19" spans="1:15" ht="12.75">
      <c r="A19" s="6">
        <v>6</v>
      </c>
      <c r="B19" s="138"/>
      <c r="C19" s="8">
        <f t="shared" si="3"/>
      </c>
      <c r="D19" s="8">
        <f t="shared" si="4"/>
      </c>
      <c r="E19" s="148"/>
      <c r="H19" s="55">
        <f t="shared" si="2"/>
      </c>
      <c r="J19" s="12"/>
      <c r="K19" s="158"/>
      <c r="L19" s="7"/>
      <c r="M19" s="8"/>
      <c r="N19" s="8"/>
      <c r="O19" s="9"/>
    </row>
    <row r="20" spans="1:15" ht="12.75">
      <c r="A20" s="6"/>
      <c r="B20" s="145"/>
      <c r="C20" s="8"/>
      <c r="D20" s="8"/>
      <c r="E20" s="148"/>
      <c r="J20" s="12"/>
      <c r="K20" s="158"/>
      <c r="L20" s="7"/>
      <c r="M20" s="8"/>
      <c r="N20" s="8"/>
      <c r="O20" s="9"/>
    </row>
    <row r="22" spans="1:10" ht="12.75">
      <c r="A22" s="14" t="s">
        <v>38</v>
      </c>
      <c r="B22" s="143"/>
      <c r="C22" s="14"/>
      <c r="D22" s="14"/>
      <c r="E22" s="143"/>
      <c r="F22" s="14"/>
      <c r="G22" s="51"/>
      <c r="H22" s="51"/>
      <c r="I22" s="14"/>
      <c r="J22" s="14"/>
    </row>
    <row r="24" spans="1:11" ht="12.75">
      <c r="A24" s="1" t="s">
        <v>0</v>
      </c>
      <c r="B24" s="134" t="s">
        <v>1</v>
      </c>
      <c r="C24" s="3" t="s">
        <v>2</v>
      </c>
      <c r="D24" s="4" t="s">
        <v>3</v>
      </c>
      <c r="E24" s="147" t="s">
        <v>4</v>
      </c>
      <c r="F24" s="16" t="s">
        <v>24</v>
      </c>
      <c r="I24" t="s">
        <v>6</v>
      </c>
      <c r="J24" s="49">
        <v>0.0014189814814814814</v>
      </c>
      <c r="K24" s="161" t="s">
        <v>222</v>
      </c>
    </row>
    <row r="25" spans="1:10" ht="12.75">
      <c r="A25" s="6">
        <v>1</v>
      </c>
      <c r="B25" s="138">
        <v>5</v>
      </c>
      <c r="C25" s="8" t="str">
        <f aca="true" t="shared" si="5" ref="C25:C36">IF(OR($B25=0,$B25=""),"",VLOOKUP($B25,jb800m,2,FALSE))</f>
        <v>Tom Rickards</v>
      </c>
      <c r="D25" s="8" t="str">
        <f aca="true" t="shared" si="6" ref="D25:D36">IF(OR($B25=0,$B25=""),"",VLOOKUP($B25,jb800m,3,FALSE))</f>
        <v>RDG</v>
      </c>
      <c r="E25" s="149">
        <v>0.0014583333333333334</v>
      </c>
      <c r="F25">
        <v>6</v>
      </c>
      <c r="G25" s="55">
        <f>IF(E25="","",IF(E25&gt;J24,"","CBP"))</f>
      </c>
      <c r="H25" s="55" t="str">
        <f>IF(E25="","",IF(E25&gt;J$25,"","ESQ"))</f>
        <v>ESQ</v>
      </c>
      <c r="I25" t="s">
        <v>26</v>
      </c>
      <c r="J25" s="49">
        <v>0.0014583333333333334</v>
      </c>
    </row>
    <row r="26" spans="1:10" ht="12.75">
      <c r="A26" s="6">
        <v>2</v>
      </c>
      <c r="B26" s="138">
        <v>6</v>
      </c>
      <c r="C26" s="8" t="str">
        <f t="shared" si="5"/>
        <v>Reuben Henry-Daire</v>
      </c>
      <c r="D26" s="8" t="str">
        <f t="shared" si="6"/>
        <v>RDG</v>
      </c>
      <c r="E26" s="149">
        <v>0.0015150462962962962</v>
      </c>
      <c r="F26">
        <v>5</v>
      </c>
      <c r="H26" s="55">
        <f aca="true" t="shared" si="7" ref="H26:H36">IF(E26="","",IF(E26&gt;J$25,"","ESQ"))</f>
      </c>
      <c r="J26" s="12"/>
    </row>
    <row r="27" spans="1:10" ht="12.75">
      <c r="A27" s="6">
        <v>3</v>
      </c>
      <c r="B27" s="138">
        <v>9</v>
      </c>
      <c r="C27" s="8" t="str">
        <f t="shared" si="5"/>
        <v>Luke Lom-Hynes</v>
      </c>
      <c r="D27" s="8" t="str">
        <f t="shared" si="6"/>
        <v>W&amp;M</v>
      </c>
      <c r="E27" s="149">
        <v>0.001519675925925926</v>
      </c>
      <c r="F27">
        <v>4</v>
      </c>
      <c r="H27" s="55">
        <f t="shared" si="7"/>
      </c>
      <c r="J27" s="12"/>
    </row>
    <row r="28" spans="1:10" ht="12.75">
      <c r="A28" s="6">
        <v>4</v>
      </c>
      <c r="B28" s="138">
        <v>11</v>
      </c>
      <c r="C28" s="8" t="str">
        <f t="shared" si="5"/>
        <v>H Maple</v>
      </c>
      <c r="D28" s="8" t="str">
        <f t="shared" si="6"/>
        <v>WOK</v>
      </c>
      <c r="E28" s="149">
        <v>0.0015613425925925927</v>
      </c>
      <c r="F28">
        <v>3</v>
      </c>
      <c r="H28" s="55">
        <f t="shared" si="7"/>
      </c>
      <c r="J28" s="12"/>
    </row>
    <row r="29" spans="1:10" ht="12.75">
      <c r="A29" s="6">
        <v>5</v>
      </c>
      <c r="B29" s="138">
        <v>10</v>
      </c>
      <c r="C29" s="8" t="str">
        <f t="shared" si="5"/>
        <v>Elliot Lowe</v>
      </c>
      <c r="D29" s="8" t="str">
        <f t="shared" si="6"/>
        <v>W&amp;M</v>
      </c>
      <c r="E29" s="149">
        <v>0.001571759259259259</v>
      </c>
      <c r="F29">
        <v>2</v>
      </c>
      <c r="H29" s="55">
        <f t="shared" si="7"/>
      </c>
      <c r="J29" s="12"/>
    </row>
    <row r="30" spans="1:10" ht="12.75">
      <c r="A30" s="6">
        <v>6</v>
      </c>
      <c r="B30" s="138" t="s">
        <v>846</v>
      </c>
      <c r="C30" s="8" t="str">
        <f t="shared" si="5"/>
        <v>F H-Dryer</v>
      </c>
      <c r="D30" s="8" t="str">
        <f t="shared" si="6"/>
        <v>WB</v>
      </c>
      <c r="E30" s="149">
        <v>0.0015833333333333335</v>
      </c>
      <c r="F30">
        <v>1</v>
      </c>
      <c r="H30" s="55">
        <f t="shared" si="7"/>
      </c>
      <c r="J30" s="12"/>
    </row>
    <row r="31" spans="1:8" ht="12.75">
      <c r="A31" s="6">
        <v>7</v>
      </c>
      <c r="B31" s="138">
        <v>12</v>
      </c>
      <c r="C31" s="8" t="str">
        <f t="shared" si="5"/>
        <v>C Adkins</v>
      </c>
      <c r="D31" s="8" t="str">
        <f t="shared" si="6"/>
        <v>WOK</v>
      </c>
      <c r="E31" s="149">
        <v>0.0015868055555555557</v>
      </c>
      <c r="H31" s="55">
        <f t="shared" si="7"/>
      </c>
    </row>
    <row r="32" spans="1:8" ht="12.75">
      <c r="A32" s="6">
        <v>8</v>
      </c>
      <c r="B32" s="146">
        <v>1</v>
      </c>
      <c r="C32" s="8" t="str">
        <f t="shared" si="5"/>
        <v>J Badana</v>
      </c>
      <c r="D32" s="8" t="str">
        <f t="shared" si="6"/>
        <v>BRK</v>
      </c>
      <c r="E32" s="149">
        <v>0.0016064814814814815</v>
      </c>
      <c r="H32" s="55">
        <f t="shared" si="7"/>
      </c>
    </row>
    <row r="33" spans="1:8" ht="12.75">
      <c r="A33" s="6">
        <v>9</v>
      </c>
      <c r="B33" s="146">
        <v>3</v>
      </c>
      <c r="C33" s="8" t="str">
        <f t="shared" si="5"/>
        <v>Tom Hynes</v>
      </c>
      <c r="D33" s="8" t="str">
        <f t="shared" si="6"/>
        <v>WB</v>
      </c>
      <c r="E33" s="149">
        <v>0.0016782407407407406</v>
      </c>
      <c r="H33" s="55">
        <f t="shared" si="7"/>
      </c>
    </row>
    <row r="34" spans="1:8" ht="12.75">
      <c r="A34" s="6">
        <v>10</v>
      </c>
      <c r="B34" s="146">
        <v>2</v>
      </c>
      <c r="C34" s="8" t="str">
        <f t="shared" si="5"/>
        <v>F Saunders</v>
      </c>
      <c r="D34" s="8" t="str">
        <f t="shared" si="6"/>
        <v>BRK</v>
      </c>
      <c r="E34" s="149">
        <v>0.001721064814814815</v>
      </c>
      <c r="H34" s="55">
        <f t="shared" si="7"/>
      </c>
    </row>
    <row r="35" spans="1:8" ht="12.75">
      <c r="A35" s="6">
        <v>11</v>
      </c>
      <c r="B35" s="146"/>
      <c r="C35" s="8">
        <f t="shared" si="5"/>
      </c>
      <c r="D35" s="8">
        <f t="shared" si="6"/>
      </c>
      <c r="E35" s="149"/>
      <c r="H35" s="55">
        <f t="shared" si="7"/>
      </c>
    </row>
    <row r="36" spans="1:8" ht="12.75">
      <c r="A36" s="6">
        <v>12</v>
      </c>
      <c r="C36" s="8">
        <f t="shared" si="5"/>
      </c>
      <c r="D36" s="8">
        <f t="shared" si="6"/>
      </c>
      <c r="E36" s="149"/>
      <c r="H36" s="55">
        <f t="shared" si="7"/>
      </c>
    </row>
    <row r="38" spans="1:18" s="14" customFormat="1" ht="12.75">
      <c r="A38" s="14" t="s">
        <v>135</v>
      </c>
      <c r="B38" s="143"/>
      <c r="E38" s="143"/>
      <c r="G38" s="51"/>
      <c r="H38" s="51"/>
      <c r="K38" s="160"/>
      <c r="Q38" s="51"/>
      <c r="R38" s="51"/>
    </row>
    <row r="39" ht="12.75">
      <c r="A39" t="s">
        <v>32</v>
      </c>
    </row>
    <row r="40" spans="1:16" ht="12.75">
      <c r="A40" s="1" t="s">
        <v>0</v>
      </c>
      <c r="B40" s="134" t="s">
        <v>1</v>
      </c>
      <c r="C40" s="3" t="s">
        <v>2</v>
      </c>
      <c r="D40" s="4" t="s">
        <v>3</v>
      </c>
      <c r="E40" s="147" t="s">
        <v>4</v>
      </c>
      <c r="F40" s="16" t="s">
        <v>114</v>
      </c>
      <c r="I40" t="s">
        <v>6</v>
      </c>
      <c r="J40" s="12">
        <v>11.4</v>
      </c>
      <c r="K40" s="158" t="s">
        <v>324</v>
      </c>
      <c r="L40" s="2"/>
      <c r="M40" s="3"/>
      <c r="N40" s="4"/>
      <c r="O40" s="5"/>
      <c r="P40" s="16"/>
    </row>
    <row r="41" spans="1:15" ht="12.75">
      <c r="A41" s="6">
        <v>1</v>
      </c>
      <c r="B41" s="138"/>
      <c r="C41" s="8">
        <f aca="true" t="shared" si="8" ref="C41:C46">IF(OR($B41=0,$B41=""),"",VLOOKUP($B41,jb80mH,2,FALSE))</f>
      </c>
      <c r="D41" s="8">
        <f aca="true" t="shared" si="9" ref="D41:D46">IF(OR($B41=0,$B41=""),"",VLOOKUP($B41,jb80mH,3,FALSE))</f>
      </c>
      <c r="E41" s="148"/>
      <c r="G41" s="55">
        <f>IF(E41="","",IF(E41&gt;J40,"","CBP"))</f>
      </c>
      <c r="H41" s="55">
        <f aca="true" t="shared" si="10" ref="H41:H54">IF(E41="","",IF(E41&gt;J$41,"","ESQ"))</f>
      </c>
      <c r="I41" t="s">
        <v>26</v>
      </c>
      <c r="J41" s="12">
        <v>12</v>
      </c>
      <c r="K41" s="158"/>
      <c r="L41" s="7"/>
      <c r="M41" s="8"/>
      <c r="N41" s="8"/>
      <c r="O41" s="9"/>
    </row>
    <row r="42" spans="1:15" ht="12.75">
      <c r="A42" s="6">
        <v>2</v>
      </c>
      <c r="B42" s="138"/>
      <c r="C42" s="8">
        <f t="shared" si="8"/>
      </c>
      <c r="D42" s="8">
        <f t="shared" si="9"/>
      </c>
      <c r="E42" s="148"/>
      <c r="H42" s="55">
        <f t="shared" si="10"/>
      </c>
      <c r="J42" s="12"/>
      <c r="K42" s="158"/>
      <c r="L42" s="7"/>
      <c r="M42" s="8"/>
      <c r="N42" s="8"/>
      <c r="O42" s="9"/>
    </row>
    <row r="43" spans="1:15" ht="12.75">
      <c r="A43" s="6">
        <v>3</v>
      </c>
      <c r="B43" s="138"/>
      <c r="C43" s="8">
        <f t="shared" si="8"/>
      </c>
      <c r="D43" s="8">
        <f t="shared" si="9"/>
      </c>
      <c r="E43" s="148"/>
      <c r="H43" s="55">
        <f t="shared" si="10"/>
      </c>
      <c r="J43" s="12"/>
      <c r="K43" s="158"/>
      <c r="L43" s="10"/>
      <c r="M43" s="8"/>
      <c r="N43" s="8"/>
      <c r="O43" s="9"/>
    </row>
    <row r="44" spans="1:15" ht="12.75">
      <c r="A44" s="6">
        <v>4</v>
      </c>
      <c r="B44" s="138"/>
      <c r="C44" s="8">
        <f t="shared" si="8"/>
      </c>
      <c r="D44" s="8">
        <f t="shared" si="9"/>
      </c>
      <c r="E44" s="148"/>
      <c r="H44" s="55">
        <f t="shared" si="10"/>
      </c>
      <c r="J44" s="12"/>
      <c r="K44" s="158"/>
      <c r="L44" s="11"/>
      <c r="M44" s="8"/>
      <c r="N44" s="8"/>
      <c r="O44" s="9"/>
    </row>
    <row r="45" spans="1:15" ht="12.75">
      <c r="A45" s="6">
        <v>5</v>
      </c>
      <c r="B45" s="138"/>
      <c r="C45" s="8">
        <f t="shared" si="8"/>
      </c>
      <c r="D45" s="8">
        <f t="shared" si="9"/>
      </c>
      <c r="E45" s="148"/>
      <c r="H45" s="55">
        <f t="shared" si="10"/>
      </c>
      <c r="J45" s="12"/>
      <c r="K45" s="158"/>
      <c r="L45" s="6"/>
      <c r="M45" s="8"/>
      <c r="N45" s="8"/>
      <c r="O45" s="9"/>
    </row>
    <row r="46" spans="1:15" ht="12.75">
      <c r="A46" s="6">
        <v>6</v>
      </c>
      <c r="B46" s="145"/>
      <c r="C46" s="8">
        <f t="shared" si="8"/>
      </c>
      <c r="D46" s="8">
        <f t="shared" si="9"/>
      </c>
      <c r="E46" s="148"/>
      <c r="H46" s="55">
        <f t="shared" si="10"/>
      </c>
      <c r="J46" s="12"/>
      <c r="K46" s="158"/>
      <c r="L46" s="10"/>
      <c r="M46" s="8"/>
      <c r="N46" s="8"/>
      <c r="O46" s="9"/>
    </row>
    <row r="47" spans="1:15" ht="12.75">
      <c r="A47" t="s">
        <v>33</v>
      </c>
      <c r="H47" s="55">
        <f t="shared" si="10"/>
      </c>
      <c r="J47" s="12"/>
      <c r="K47" s="158"/>
      <c r="L47" s="10"/>
      <c r="M47" s="8"/>
      <c r="N47" s="8"/>
      <c r="O47" s="9"/>
    </row>
    <row r="48" spans="1:15" ht="12.75">
      <c r="A48" s="1" t="s">
        <v>0</v>
      </c>
      <c r="B48" s="134" t="s">
        <v>1</v>
      </c>
      <c r="C48" s="3" t="s">
        <v>2</v>
      </c>
      <c r="D48" s="4" t="s">
        <v>3</v>
      </c>
      <c r="E48" s="147" t="s">
        <v>4</v>
      </c>
      <c r="F48" s="16" t="s">
        <v>114</v>
      </c>
      <c r="H48" s="55">
        <f t="shared" si="10"/>
      </c>
      <c r="J48" s="12"/>
      <c r="K48" s="158"/>
      <c r="L48" s="10"/>
      <c r="M48" s="8"/>
      <c r="N48" s="8"/>
      <c r="O48" s="9"/>
    </row>
    <row r="49" spans="1:15" ht="12.75">
      <c r="A49" s="6">
        <v>1</v>
      </c>
      <c r="B49" s="138"/>
      <c r="C49" s="8">
        <f aca="true" t="shared" si="11" ref="C49:C54">IF(OR($B49=0,$B49=""),"",VLOOKUP($B49,jb80mH,2,FALSE))</f>
      </c>
      <c r="D49" s="8">
        <f aca="true" t="shared" si="12" ref="D49:D54">IF(OR($B49=0,$B49=""),"",VLOOKUP($B49,jb80mH,3,FALSE))</f>
      </c>
      <c r="E49" s="148"/>
      <c r="G49" s="55">
        <f>IF(E49="","",IF(E49&gt;J40,"","CBP"))</f>
      </c>
      <c r="H49" s="55">
        <f t="shared" si="10"/>
      </c>
      <c r="J49" s="12"/>
      <c r="K49" s="158"/>
      <c r="L49" s="10"/>
      <c r="M49" s="8"/>
      <c r="N49" s="8"/>
      <c r="O49" s="9"/>
    </row>
    <row r="50" spans="1:15" ht="12.75">
      <c r="A50" s="6">
        <v>2</v>
      </c>
      <c r="B50" s="138"/>
      <c r="C50" s="8">
        <f t="shared" si="11"/>
      </c>
      <c r="D50" s="8">
        <f t="shared" si="12"/>
      </c>
      <c r="E50" s="148"/>
      <c r="H50" s="55">
        <f t="shared" si="10"/>
      </c>
      <c r="J50" s="12"/>
      <c r="K50" s="158"/>
      <c r="L50" s="10"/>
      <c r="M50" s="8"/>
      <c r="N50" s="8"/>
      <c r="O50" s="9"/>
    </row>
    <row r="51" spans="1:15" ht="12.75">
      <c r="A51" s="6">
        <v>3</v>
      </c>
      <c r="B51" s="138"/>
      <c r="C51" s="8">
        <f t="shared" si="11"/>
      </c>
      <c r="D51" s="8">
        <f t="shared" si="12"/>
      </c>
      <c r="E51" s="148"/>
      <c r="H51" s="55">
        <f t="shared" si="10"/>
      </c>
      <c r="J51" s="12"/>
      <c r="K51" s="158"/>
      <c r="L51" s="10"/>
      <c r="M51" s="8"/>
      <c r="N51" s="8"/>
      <c r="O51" s="9"/>
    </row>
    <row r="52" spans="1:15" ht="12.75">
      <c r="A52" s="6">
        <v>4</v>
      </c>
      <c r="B52" s="138"/>
      <c r="C52" s="8">
        <f t="shared" si="11"/>
      </c>
      <c r="D52" s="8">
        <f t="shared" si="12"/>
      </c>
      <c r="E52" s="148"/>
      <c r="H52" s="55">
        <f t="shared" si="10"/>
      </c>
      <c r="J52" s="12"/>
      <c r="K52" s="158"/>
      <c r="L52" s="10"/>
      <c r="M52" s="8"/>
      <c r="N52" s="8"/>
      <c r="O52" s="9"/>
    </row>
    <row r="53" spans="1:15" ht="12.75">
      <c r="A53" s="6">
        <v>5</v>
      </c>
      <c r="B53" s="132"/>
      <c r="C53" s="8">
        <f t="shared" si="11"/>
      </c>
      <c r="D53" s="8">
        <f t="shared" si="12"/>
      </c>
      <c r="E53" s="148"/>
      <c r="H53" s="55">
        <f t="shared" si="10"/>
      </c>
      <c r="J53" s="12"/>
      <c r="K53" s="158"/>
      <c r="L53" s="10"/>
      <c r="M53" s="8"/>
      <c r="N53" s="8"/>
      <c r="O53" s="9"/>
    </row>
    <row r="54" spans="1:15" ht="12.75">
      <c r="A54" s="6">
        <v>6</v>
      </c>
      <c r="B54" s="145"/>
      <c r="C54" s="8">
        <f t="shared" si="11"/>
      </c>
      <c r="D54" s="8">
        <f t="shared" si="12"/>
      </c>
      <c r="E54" s="148"/>
      <c r="H54" s="55">
        <f t="shared" si="10"/>
      </c>
      <c r="J54" s="12"/>
      <c r="K54" s="158"/>
      <c r="L54" s="10"/>
      <c r="M54" s="8"/>
      <c r="N54" s="8"/>
      <c r="O54" s="9"/>
    </row>
    <row r="55" ht="12.75">
      <c r="H55" s="55">
        <f>IF(E55="","",IF(E55&gt;J47,"","ESQ"))</f>
      </c>
    </row>
    <row r="56" spans="1:18" s="14" customFormat="1" ht="12.75">
      <c r="A56" s="14" t="s">
        <v>1401</v>
      </c>
      <c r="B56" s="143"/>
      <c r="E56" s="143"/>
      <c r="G56" s="51"/>
      <c r="H56" s="51"/>
      <c r="K56" s="160"/>
      <c r="Q56" s="51"/>
      <c r="R56" s="51"/>
    </row>
    <row r="57" ht="12.75">
      <c r="A57" t="s">
        <v>32</v>
      </c>
    </row>
    <row r="58" spans="1:16" ht="12.75">
      <c r="A58" s="1" t="s">
        <v>0</v>
      </c>
      <c r="B58" s="134" t="s">
        <v>1</v>
      </c>
      <c r="C58" s="3" t="s">
        <v>2</v>
      </c>
      <c r="D58" s="4" t="s">
        <v>3</v>
      </c>
      <c r="E58" s="147" t="s">
        <v>4</v>
      </c>
      <c r="F58" s="16" t="s">
        <v>114</v>
      </c>
      <c r="I58" t="s">
        <v>6</v>
      </c>
      <c r="J58" s="12">
        <v>37</v>
      </c>
      <c r="K58" s="158"/>
      <c r="L58" s="2"/>
      <c r="M58" s="3"/>
      <c r="N58" s="4"/>
      <c r="O58" s="5"/>
      <c r="P58" s="16"/>
    </row>
    <row r="59" spans="1:18" ht="12.75">
      <c r="A59" s="6">
        <v>1</v>
      </c>
      <c r="B59" s="138">
        <v>12</v>
      </c>
      <c r="C59" s="8" t="str">
        <f aca="true" t="shared" si="13" ref="C59:C64">IF(OR($B59=0,$B59=""),"",VLOOKUP($B59,jb400m,2,FALSE))</f>
        <v>J Nneke</v>
      </c>
      <c r="D59" s="8" t="str">
        <f aca="true" t="shared" si="14" ref="D59:D64">IF(OR($B59=0,$B59=""),"",VLOOKUP($B59,jb400m,3,FALSE))</f>
        <v>WOK</v>
      </c>
      <c r="E59" s="148">
        <v>40</v>
      </c>
      <c r="F59" s="42" t="s">
        <v>123</v>
      </c>
      <c r="G59" s="55">
        <f>IF(E59="","",IF(E59&gt;J58,"","CBP"))</f>
      </c>
      <c r="H59" s="55">
        <f aca="true" t="shared" si="15" ref="H59:H72">IF(E59="","",IF(E59&gt;J$59,"","ESQ"))</f>
      </c>
      <c r="I59" t="s">
        <v>26</v>
      </c>
      <c r="J59" s="12">
        <v>38</v>
      </c>
      <c r="K59" s="158"/>
      <c r="L59" s="7"/>
      <c r="M59" s="8"/>
      <c r="N59" s="8"/>
      <c r="O59" s="9"/>
      <c r="R59" s="55">
        <f aca="true" t="shared" si="16" ref="R59:R64">IF(O59="","",IF(O59&gt;J$59,"","ESQ"))</f>
      </c>
    </row>
    <row r="60" spans="1:18" ht="12.75">
      <c r="A60" s="6">
        <v>2</v>
      </c>
      <c r="B60" s="138">
        <v>9</v>
      </c>
      <c r="C60" s="8" t="str">
        <f t="shared" si="13"/>
        <v>Kyle Ferguson</v>
      </c>
      <c r="D60" s="8" t="str">
        <f t="shared" si="14"/>
        <v>W&amp;M</v>
      </c>
      <c r="E60" s="148">
        <v>40.7</v>
      </c>
      <c r="F60" s="42" t="s">
        <v>123</v>
      </c>
      <c r="H60" s="55">
        <f t="shared" si="15"/>
      </c>
      <c r="J60" s="12"/>
      <c r="K60" s="158"/>
      <c r="L60" s="7"/>
      <c r="M60" s="8"/>
      <c r="N60" s="8"/>
      <c r="O60" s="9"/>
      <c r="R60" s="55">
        <f t="shared" si="16"/>
      </c>
    </row>
    <row r="61" spans="1:18" ht="12.75">
      <c r="A61" s="6">
        <v>3</v>
      </c>
      <c r="B61" s="145">
        <v>8</v>
      </c>
      <c r="C61" s="8" t="str">
        <f t="shared" si="13"/>
        <v>Oluwatosin Odunsi</v>
      </c>
      <c r="D61" s="8" t="str">
        <f t="shared" si="14"/>
        <v>SL</v>
      </c>
      <c r="E61" s="148">
        <v>41</v>
      </c>
      <c r="F61" s="42" t="s">
        <v>123</v>
      </c>
      <c r="H61" s="55">
        <f t="shared" si="15"/>
      </c>
      <c r="J61" s="12"/>
      <c r="K61" s="158"/>
      <c r="L61" s="10"/>
      <c r="M61" s="8"/>
      <c r="N61" s="8"/>
      <c r="O61" s="9"/>
      <c r="P61" s="42"/>
      <c r="R61" s="55">
        <f t="shared" si="16"/>
      </c>
    </row>
    <row r="62" spans="1:18" ht="12.75">
      <c r="A62" s="6">
        <v>4</v>
      </c>
      <c r="B62" s="141">
        <v>6</v>
      </c>
      <c r="C62" s="8" t="str">
        <f t="shared" si="13"/>
        <v>K Grant</v>
      </c>
      <c r="D62" s="8" t="str">
        <f t="shared" si="14"/>
        <v>RDG</v>
      </c>
      <c r="E62" s="148">
        <v>43.1</v>
      </c>
      <c r="H62" s="55">
        <f t="shared" si="15"/>
      </c>
      <c r="J62" s="12"/>
      <c r="K62" s="158"/>
      <c r="L62" s="11"/>
      <c r="M62" s="8"/>
      <c r="N62" s="8"/>
      <c r="O62" s="9"/>
      <c r="R62" s="55">
        <f t="shared" si="16"/>
      </c>
    </row>
    <row r="63" spans="1:18" ht="12.75">
      <c r="A63" s="6">
        <v>5</v>
      </c>
      <c r="B63" s="132"/>
      <c r="C63" s="8">
        <f t="shared" si="13"/>
      </c>
      <c r="D63" s="8">
        <f t="shared" si="14"/>
      </c>
      <c r="E63" s="148"/>
      <c r="H63" s="55">
        <f t="shared" si="15"/>
      </c>
      <c r="J63" s="12"/>
      <c r="K63" s="158"/>
      <c r="L63" s="6"/>
      <c r="M63" s="8"/>
      <c r="N63" s="8"/>
      <c r="O63" s="9"/>
      <c r="R63" s="55">
        <f t="shared" si="16"/>
      </c>
    </row>
    <row r="64" spans="1:18" ht="12.75">
      <c r="A64" s="6">
        <v>6</v>
      </c>
      <c r="B64" s="145"/>
      <c r="C64" s="8">
        <f t="shared" si="13"/>
      </c>
      <c r="D64" s="8">
        <f t="shared" si="14"/>
      </c>
      <c r="E64" s="148"/>
      <c r="H64" s="55">
        <f t="shared" si="15"/>
      </c>
      <c r="J64" s="12"/>
      <c r="K64" s="158"/>
      <c r="L64" s="10"/>
      <c r="M64" s="8"/>
      <c r="N64" s="8"/>
      <c r="O64" s="9"/>
      <c r="R64" s="55">
        <f t="shared" si="16"/>
      </c>
    </row>
    <row r="65" spans="1:15" ht="12.75">
      <c r="A65" t="s">
        <v>33</v>
      </c>
      <c r="H65" s="55">
        <f t="shared" si="15"/>
      </c>
      <c r="J65" s="12"/>
      <c r="K65" s="158"/>
      <c r="L65" s="10"/>
      <c r="M65" s="8"/>
      <c r="N65" s="8"/>
      <c r="O65" s="9"/>
    </row>
    <row r="66" spans="1:15" ht="12.75">
      <c r="A66" s="1" t="s">
        <v>0</v>
      </c>
      <c r="B66" s="134" t="s">
        <v>1</v>
      </c>
      <c r="C66" s="3" t="s">
        <v>2</v>
      </c>
      <c r="D66" s="4" t="s">
        <v>3</v>
      </c>
      <c r="E66" s="147" t="s">
        <v>4</v>
      </c>
      <c r="F66" s="16" t="s">
        <v>114</v>
      </c>
      <c r="H66" s="55">
        <f t="shared" si="15"/>
      </c>
      <c r="J66" s="12"/>
      <c r="K66" s="158"/>
      <c r="L66" s="10"/>
      <c r="M66" s="8"/>
      <c r="N66" s="8"/>
      <c r="O66" s="9"/>
    </row>
    <row r="67" spans="1:15" ht="12.75">
      <c r="A67" s="6">
        <v>1</v>
      </c>
      <c r="B67" s="138">
        <v>11</v>
      </c>
      <c r="C67" s="8" t="str">
        <f aca="true" t="shared" si="17" ref="C67:C72">IF(OR($B67=0,$B67=""),"",VLOOKUP($B67,jb400m,2,FALSE))</f>
        <v>C Grant</v>
      </c>
      <c r="D67" s="8" t="str">
        <f aca="true" t="shared" si="18" ref="D67:D72">IF(OR($B67=0,$B67=""),"",VLOOKUP($B67,jb400m,3,FALSE))</f>
        <v>WOK</v>
      </c>
      <c r="E67" s="148">
        <v>38.5</v>
      </c>
      <c r="F67" s="42" t="s">
        <v>123</v>
      </c>
      <c r="G67" s="55">
        <f>IF(E67="","",IF(E67&gt;J58,"","CBP"))</f>
      </c>
      <c r="H67" s="55">
        <f t="shared" si="15"/>
      </c>
      <c r="J67" s="12"/>
      <c r="K67" s="158"/>
      <c r="L67" s="10"/>
      <c r="M67" s="8"/>
      <c r="N67" s="8"/>
      <c r="O67" s="9"/>
    </row>
    <row r="68" spans="1:15" ht="12.75">
      <c r="A68" s="6">
        <v>2</v>
      </c>
      <c r="B68" s="138">
        <v>7</v>
      </c>
      <c r="C68" s="8" t="str">
        <f t="shared" si="17"/>
        <v>Toby Hope</v>
      </c>
      <c r="D68" s="8" t="str">
        <f t="shared" si="18"/>
        <v>SL</v>
      </c>
      <c r="E68" s="148">
        <v>39.1</v>
      </c>
      <c r="F68" s="42" t="s">
        <v>123</v>
      </c>
      <c r="H68" s="55">
        <f t="shared" si="15"/>
      </c>
      <c r="J68" s="12"/>
      <c r="K68" s="158"/>
      <c r="L68" s="10"/>
      <c r="M68" s="8"/>
      <c r="N68" s="8"/>
      <c r="O68" s="9"/>
    </row>
    <row r="69" spans="1:15" ht="12.75">
      <c r="A69" s="6">
        <v>3</v>
      </c>
      <c r="B69" s="145">
        <v>1</v>
      </c>
      <c r="C69" s="8" t="str">
        <f t="shared" si="17"/>
        <v>J Norman</v>
      </c>
      <c r="D69" s="8" t="str">
        <f t="shared" si="18"/>
        <v>BRK</v>
      </c>
      <c r="E69" s="148">
        <v>42.5</v>
      </c>
      <c r="F69" s="42" t="s">
        <v>123</v>
      </c>
      <c r="H69" s="55">
        <f t="shared" si="15"/>
      </c>
      <c r="J69" s="12"/>
      <c r="K69" s="158"/>
      <c r="L69" s="10"/>
      <c r="M69" s="8"/>
      <c r="N69" s="8"/>
      <c r="O69" s="9"/>
    </row>
    <row r="70" spans="1:15" ht="12.75">
      <c r="A70" s="6">
        <v>4</v>
      </c>
      <c r="B70" s="141">
        <v>5</v>
      </c>
      <c r="C70" s="8" t="str">
        <f t="shared" si="17"/>
        <v>Max Summers</v>
      </c>
      <c r="D70" s="8" t="str">
        <f t="shared" si="18"/>
        <v>RDG</v>
      </c>
      <c r="E70" s="148">
        <v>43.6</v>
      </c>
      <c r="H70" s="55">
        <f t="shared" si="15"/>
      </c>
      <c r="J70" s="12"/>
      <c r="K70" s="158"/>
      <c r="L70" s="10"/>
      <c r="M70" s="8"/>
      <c r="N70" s="8"/>
      <c r="O70" s="9"/>
    </row>
    <row r="71" spans="1:15" ht="12.75">
      <c r="A71" s="6">
        <v>5</v>
      </c>
      <c r="B71" s="132"/>
      <c r="C71" s="8">
        <f t="shared" si="17"/>
      </c>
      <c r="D71" s="8">
        <f t="shared" si="18"/>
      </c>
      <c r="E71" s="148"/>
      <c r="H71" s="55">
        <f t="shared" si="15"/>
      </c>
      <c r="J71" s="12"/>
      <c r="K71" s="158"/>
      <c r="L71" s="10"/>
      <c r="M71" s="8"/>
      <c r="N71" s="8"/>
      <c r="O71" s="9"/>
    </row>
    <row r="72" spans="1:15" ht="12.75">
      <c r="A72" s="6">
        <v>6</v>
      </c>
      <c r="B72" s="145"/>
      <c r="C72" s="8">
        <f t="shared" si="17"/>
      </c>
      <c r="D72" s="8">
        <f t="shared" si="18"/>
      </c>
      <c r="E72" s="148"/>
      <c r="H72" s="55">
        <f t="shared" si="15"/>
      </c>
      <c r="J72" s="12"/>
      <c r="K72" s="158"/>
      <c r="L72" s="10"/>
      <c r="M72" s="8"/>
      <c r="N72" s="8"/>
      <c r="O72" s="9"/>
    </row>
    <row r="74" spans="1:10" ht="12.75">
      <c r="A74" s="14" t="s">
        <v>238</v>
      </c>
      <c r="B74" s="143"/>
      <c r="C74" s="14"/>
      <c r="D74" s="14"/>
      <c r="E74" s="143"/>
      <c r="F74" s="14"/>
      <c r="G74" s="51"/>
      <c r="H74" s="51"/>
      <c r="I74" s="14"/>
      <c r="J74" s="14"/>
    </row>
    <row r="76" spans="1:11" ht="12.75">
      <c r="A76" s="1" t="s">
        <v>0</v>
      </c>
      <c r="B76" s="134" t="s">
        <v>1</v>
      </c>
      <c r="C76" s="3" t="s">
        <v>2</v>
      </c>
      <c r="D76" s="4" t="s">
        <v>3</v>
      </c>
      <c r="E76" s="147" t="s">
        <v>4</v>
      </c>
      <c r="F76" s="16" t="s">
        <v>24</v>
      </c>
      <c r="I76" t="s">
        <v>6</v>
      </c>
      <c r="J76" s="12">
        <v>11.5</v>
      </c>
      <c r="K76" s="159" t="s">
        <v>216</v>
      </c>
    </row>
    <row r="77" spans="1:10" ht="12.75">
      <c r="A77" s="6">
        <v>1</v>
      </c>
      <c r="B77" s="138">
        <v>9</v>
      </c>
      <c r="C77" s="8" t="str">
        <f aca="true" t="shared" si="19" ref="C77:C82">IF(OR($B77=0,$B77=""),"",VLOOKUP($B77,jb100m,2,FALSE))</f>
        <v>Luke Turner</v>
      </c>
      <c r="D77" s="8" t="str">
        <f aca="true" t="shared" si="20" ref="D77:D82">IF(OR($B77=0,$B77=""),"",VLOOKUP($B77,jb100m,3,FALSE))</f>
        <v>W&amp;M</v>
      </c>
      <c r="E77" s="148">
        <v>11.9</v>
      </c>
      <c r="F77">
        <v>6</v>
      </c>
      <c r="G77" s="55">
        <f>IF(E77="","",IF(E77&gt;J76,"","CBP"))</f>
      </c>
      <c r="H77" s="55">
        <f aca="true" t="shared" si="21" ref="H77:H82">IF(E77="","",IF(E77&gt;J$77,"","ESQ"))</f>
      </c>
      <c r="I77" t="s">
        <v>26</v>
      </c>
      <c r="J77" s="12">
        <v>11.8</v>
      </c>
    </row>
    <row r="78" spans="1:10" ht="12.75">
      <c r="A78" s="6">
        <v>2</v>
      </c>
      <c r="B78" s="138">
        <v>3</v>
      </c>
      <c r="C78" s="8" t="str">
        <f t="shared" si="19"/>
        <v>H Harry</v>
      </c>
      <c r="D78" s="8" t="str">
        <f t="shared" si="20"/>
        <v>WB</v>
      </c>
      <c r="E78" s="148">
        <v>12.3</v>
      </c>
      <c r="F78">
        <v>5</v>
      </c>
      <c r="H78" s="55">
        <f t="shared" si="21"/>
      </c>
      <c r="J78" s="12"/>
    </row>
    <row r="79" spans="1:10" ht="12.75">
      <c r="A79" s="6">
        <v>3</v>
      </c>
      <c r="B79" s="138">
        <v>1</v>
      </c>
      <c r="C79" s="8" t="str">
        <f t="shared" si="19"/>
        <v>P McErlain</v>
      </c>
      <c r="D79" s="8" t="str">
        <f t="shared" si="20"/>
        <v>BRK</v>
      </c>
      <c r="E79" s="148">
        <v>12.5</v>
      </c>
      <c r="F79">
        <v>4</v>
      </c>
      <c r="H79" s="55">
        <f t="shared" si="21"/>
      </c>
      <c r="J79" s="12"/>
    </row>
    <row r="80" spans="1:10" ht="12.75">
      <c r="A80" s="6">
        <v>4</v>
      </c>
      <c r="B80" s="138">
        <v>7</v>
      </c>
      <c r="C80" s="8" t="str">
        <f t="shared" si="19"/>
        <v>John MacGeevay</v>
      </c>
      <c r="D80" s="8" t="str">
        <f t="shared" si="20"/>
        <v>SL</v>
      </c>
      <c r="E80" s="148">
        <v>12.7</v>
      </c>
      <c r="F80">
        <v>3</v>
      </c>
      <c r="H80" s="55">
        <f t="shared" si="21"/>
      </c>
      <c r="J80" s="12"/>
    </row>
    <row r="81" spans="1:10" ht="12.75">
      <c r="A81" s="6">
        <v>5</v>
      </c>
      <c r="B81" s="138">
        <v>10</v>
      </c>
      <c r="C81" s="8" t="str">
        <f t="shared" si="19"/>
        <v>Geo Sealey</v>
      </c>
      <c r="D81" s="8" t="str">
        <f t="shared" si="20"/>
        <v>W&amp;M</v>
      </c>
      <c r="E81" s="148">
        <v>12.8</v>
      </c>
      <c r="F81">
        <v>2</v>
      </c>
      <c r="H81" s="55">
        <f t="shared" si="21"/>
      </c>
      <c r="J81" s="12"/>
    </row>
    <row r="82" spans="1:10" ht="12.75">
      <c r="A82" s="6">
        <v>6</v>
      </c>
      <c r="B82" s="145"/>
      <c r="C82" s="8">
        <f t="shared" si="19"/>
      </c>
      <c r="D82" s="8">
        <f t="shared" si="20"/>
      </c>
      <c r="E82" s="148"/>
      <c r="F82">
        <v>1</v>
      </c>
      <c r="H82" s="55">
        <f t="shared" si="21"/>
      </c>
      <c r="J82" s="12"/>
    </row>
    <row r="84" spans="1:10" ht="12.75">
      <c r="A84" s="14" t="s">
        <v>139</v>
      </c>
      <c r="B84" s="143"/>
      <c r="C84" s="14"/>
      <c r="D84" s="14"/>
      <c r="E84" s="143"/>
      <c r="F84" s="14"/>
      <c r="G84" s="51"/>
      <c r="H84" s="51"/>
      <c r="I84" s="14"/>
      <c r="J84" s="14"/>
    </row>
    <row r="86" spans="1:11" ht="12.75">
      <c r="A86" s="1" t="s">
        <v>0</v>
      </c>
      <c r="B86" s="134" t="s">
        <v>1</v>
      </c>
      <c r="C86" s="3" t="s">
        <v>2</v>
      </c>
      <c r="D86" s="4" t="s">
        <v>3</v>
      </c>
      <c r="E86" s="147" t="s">
        <v>4</v>
      </c>
      <c r="F86" s="16" t="s">
        <v>24</v>
      </c>
      <c r="I86" t="s">
        <v>6</v>
      </c>
      <c r="J86" s="49">
        <v>0.002916666666666667</v>
      </c>
      <c r="K86" s="161" t="s">
        <v>326</v>
      </c>
    </row>
    <row r="87" spans="1:10" ht="12.75">
      <c r="A87" s="6">
        <v>1</v>
      </c>
      <c r="B87" s="138">
        <v>3</v>
      </c>
      <c r="C87" s="8" t="str">
        <f aca="true" t="shared" si="22" ref="C87:C98">IF(OR($B87=0,$B87=""),"",VLOOKUP($B87,jb1500m,2,FALSE))</f>
        <v>M Raynor</v>
      </c>
      <c r="D87" s="8" t="str">
        <f aca="true" t="shared" si="23" ref="D87:D98">IF(OR($B87=0,$B87=""),"",VLOOKUP($B87,jb1500m,3,FALSE))</f>
        <v>WB</v>
      </c>
      <c r="E87" s="149">
        <v>0.0030636574074074077</v>
      </c>
      <c r="F87">
        <v>6</v>
      </c>
      <c r="I87" t="s">
        <v>26</v>
      </c>
      <c r="J87" s="49">
        <v>0.0030324074074074073</v>
      </c>
    </row>
    <row r="88" spans="1:10" ht="12.75">
      <c r="A88" s="6">
        <v>2</v>
      </c>
      <c r="B88" s="138">
        <v>5</v>
      </c>
      <c r="C88" s="8" t="str">
        <f t="shared" si="22"/>
        <v>Sam Hodgson</v>
      </c>
      <c r="D88" s="8" t="str">
        <f t="shared" si="23"/>
        <v>RDG</v>
      </c>
      <c r="E88" s="149">
        <v>0.0032303240740740743</v>
      </c>
      <c r="F88">
        <v>5</v>
      </c>
      <c r="J88" s="12"/>
    </row>
    <row r="89" spans="1:10" ht="12.75">
      <c r="A89" s="6">
        <v>3</v>
      </c>
      <c r="B89" s="138">
        <v>11</v>
      </c>
      <c r="C89" s="8" t="str">
        <f t="shared" si="22"/>
        <v>L Bradshaw</v>
      </c>
      <c r="D89" s="8" t="str">
        <f t="shared" si="23"/>
        <v>WOK</v>
      </c>
      <c r="E89" s="149">
        <v>0.0032939814814814815</v>
      </c>
      <c r="F89">
        <v>4</v>
      </c>
      <c r="J89" s="12"/>
    </row>
    <row r="90" spans="1:10" ht="12.75">
      <c r="A90" s="6">
        <v>4</v>
      </c>
      <c r="B90" s="138">
        <v>8</v>
      </c>
      <c r="C90" s="8" t="str">
        <f t="shared" si="22"/>
        <v>Nathan Hackley</v>
      </c>
      <c r="D90" s="8" t="str">
        <f t="shared" si="23"/>
        <v>SL</v>
      </c>
      <c r="E90" s="149">
        <v>0.0033402777777777784</v>
      </c>
      <c r="F90">
        <v>3</v>
      </c>
      <c r="H90" s="55">
        <f aca="true" t="shared" si="24" ref="H90:H98">IF(E90="","",IF(E90&gt;J$87,"","ESQ"))</f>
      </c>
      <c r="J90" s="12"/>
    </row>
    <row r="91" spans="1:10" ht="12.75">
      <c r="A91" s="6">
        <v>5</v>
      </c>
      <c r="B91" s="138">
        <v>4</v>
      </c>
      <c r="C91" s="8" t="str">
        <f t="shared" si="22"/>
        <v>H Beattie</v>
      </c>
      <c r="D91" s="8" t="str">
        <f t="shared" si="23"/>
        <v>WB</v>
      </c>
      <c r="E91" s="149">
        <v>0.0033935185185185184</v>
      </c>
      <c r="F91">
        <v>2</v>
      </c>
      <c r="H91" s="55">
        <f t="shared" si="24"/>
      </c>
      <c r="J91" s="12"/>
    </row>
    <row r="92" spans="1:10" ht="12.75">
      <c r="A92" s="6">
        <v>6</v>
      </c>
      <c r="B92" s="138">
        <v>7</v>
      </c>
      <c r="C92" s="8" t="str">
        <f t="shared" si="22"/>
        <v>James Black</v>
      </c>
      <c r="D92" s="8" t="str">
        <f t="shared" si="23"/>
        <v>SL</v>
      </c>
      <c r="E92" s="149">
        <v>0.0034155092592592588</v>
      </c>
      <c r="F92">
        <v>1</v>
      </c>
      <c r="H92" s="55">
        <f t="shared" si="24"/>
      </c>
      <c r="J92" s="12"/>
    </row>
    <row r="93" spans="1:8" ht="12.75">
      <c r="A93" s="6">
        <v>7</v>
      </c>
      <c r="B93" s="138">
        <v>12</v>
      </c>
      <c r="C93" s="8" t="str">
        <f t="shared" si="22"/>
        <v>S Warren</v>
      </c>
      <c r="D93" s="8" t="str">
        <f t="shared" si="23"/>
        <v>WOK</v>
      </c>
      <c r="E93" s="149">
        <v>0.0034247685185185184</v>
      </c>
      <c r="H93" s="55">
        <f t="shared" si="24"/>
      </c>
    </row>
    <row r="94" spans="1:8" ht="12.75">
      <c r="A94" s="6">
        <v>8</v>
      </c>
      <c r="B94" s="138">
        <v>10</v>
      </c>
      <c r="C94" s="8" t="str">
        <f t="shared" si="22"/>
        <v>Ross Van Hearde</v>
      </c>
      <c r="D94" s="8" t="str">
        <f t="shared" si="23"/>
        <v>W&amp;M</v>
      </c>
      <c r="E94" s="149">
        <v>0.003435185185185185</v>
      </c>
      <c r="H94" s="55">
        <f t="shared" si="24"/>
      </c>
    </row>
    <row r="95" spans="1:8" ht="12.75">
      <c r="A95" s="6">
        <v>9</v>
      </c>
      <c r="B95" s="138">
        <v>1</v>
      </c>
      <c r="C95" s="8" t="str">
        <f t="shared" si="22"/>
        <v>T Brooks</v>
      </c>
      <c r="D95" s="8" t="str">
        <f t="shared" si="23"/>
        <v>BRK</v>
      </c>
      <c r="E95" s="149">
        <v>0.0034444444444444444</v>
      </c>
      <c r="H95" s="55">
        <f t="shared" si="24"/>
      </c>
    </row>
    <row r="96" spans="1:8" ht="12.75">
      <c r="A96" s="6">
        <v>10</v>
      </c>
      <c r="B96" s="301">
        <v>2</v>
      </c>
      <c r="C96" s="8" t="str">
        <f t="shared" si="22"/>
        <v>S Carey</v>
      </c>
      <c r="D96" s="8" t="str">
        <f t="shared" si="23"/>
        <v>BRK</v>
      </c>
      <c r="E96" s="305">
        <v>0.0035821759259259257</v>
      </c>
      <c r="H96" s="55">
        <f t="shared" si="24"/>
      </c>
    </row>
    <row r="97" spans="1:8" ht="12.75">
      <c r="A97" s="6">
        <v>11</v>
      </c>
      <c r="B97" s="301">
        <v>6</v>
      </c>
      <c r="C97" s="8" t="str">
        <f t="shared" si="22"/>
        <v>Reuben Muston</v>
      </c>
      <c r="D97" s="8" t="str">
        <f t="shared" si="23"/>
        <v>RDG</v>
      </c>
      <c r="E97" s="305">
        <v>0.003655092592592593</v>
      </c>
      <c r="H97" s="55">
        <f t="shared" si="24"/>
      </c>
    </row>
    <row r="98" spans="1:8" ht="12.75">
      <c r="A98" s="6">
        <v>12</v>
      </c>
      <c r="C98" s="8">
        <f t="shared" si="22"/>
      </c>
      <c r="D98" s="8">
        <f t="shared" si="23"/>
      </c>
      <c r="E98" s="305"/>
      <c r="H98" s="55">
        <f t="shared" si="24"/>
      </c>
    </row>
    <row r="100" spans="1:10" ht="12.75">
      <c r="A100" s="14" t="s">
        <v>240</v>
      </c>
      <c r="B100" s="143"/>
      <c r="C100" s="14"/>
      <c r="D100" s="14"/>
      <c r="E100" s="143"/>
      <c r="F100" s="14"/>
      <c r="G100" s="51"/>
      <c r="H100" s="51"/>
      <c r="I100" s="14"/>
      <c r="J100" s="14"/>
    </row>
    <row r="102" spans="1:11" ht="12.75">
      <c r="A102" s="1" t="s">
        <v>0</v>
      </c>
      <c r="B102" s="134" t="s">
        <v>1</v>
      </c>
      <c r="C102" s="3" t="s">
        <v>2</v>
      </c>
      <c r="D102" s="4" t="s">
        <v>3</v>
      </c>
      <c r="E102" s="147" t="s">
        <v>4</v>
      </c>
      <c r="F102" s="16" t="s">
        <v>24</v>
      </c>
      <c r="I102" t="s">
        <v>6</v>
      </c>
      <c r="J102" s="12">
        <v>11.4</v>
      </c>
      <c r="K102" s="158" t="s">
        <v>324</v>
      </c>
    </row>
    <row r="103" spans="1:10" ht="12.75">
      <c r="A103" s="6">
        <v>1</v>
      </c>
      <c r="B103" s="138">
        <v>3</v>
      </c>
      <c r="C103" s="8" t="str">
        <f aca="true" t="shared" si="25" ref="C103:C108">IF(OR($B103=0,$B103=""),"",VLOOKUP($B103,jb80mH,2,FALSE))</f>
        <v>L Baker</v>
      </c>
      <c r="D103" s="8" t="str">
        <f aca="true" t="shared" si="26" ref="D103:D108">IF(OR($B103=0,$B103=""),"",VLOOKUP($B103,jb80mH,3,FALSE))</f>
        <v>WB</v>
      </c>
      <c r="E103" s="148">
        <v>13</v>
      </c>
      <c r="F103">
        <v>6</v>
      </c>
      <c r="G103" s="55">
        <f>IF(E103="","",IF(E103&gt;J102,"","CBP"))</f>
      </c>
      <c r="H103" s="55">
        <f aca="true" t="shared" si="27" ref="H103:H108">IF(E103="","",IF(E103&gt;J$103,"","ESQ"))</f>
      </c>
      <c r="I103" t="s">
        <v>26</v>
      </c>
      <c r="J103" s="12">
        <v>12</v>
      </c>
    </row>
    <row r="104" spans="1:10" ht="12.75">
      <c r="A104" s="6">
        <v>2</v>
      </c>
      <c r="B104" s="138">
        <v>5</v>
      </c>
      <c r="C104" s="8" t="str">
        <f t="shared" si="25"/>
        <v>Matthew Kirk</v>
      </c>
      <c r="D104" s="8" t="str">
        <f t="shared" si="26"/>
        <v>RDG</v>
      </c>
      <c r="E104" s="148">
        <v>13.2</v>
      </c>
      <c r="F104">
        <v>5</v>
      </c>
      <c r="H104" s="55">
        <f t="shared" si="27"/>
      </c>
      <c r="J104" s="12"/>
    </row>
    <row r="105" spans="1:10" ht="12.75">
      <c r="A105" s="6">
        <v>3</v>
      </c>
      <c r="B105" s="138">
        <v>9</v>
      </c>
      <c r="C105" s="8" t="str">
        <f t="shared" si="25"/>
        <v>Archie O'Dwyer</v>
      </c>
      <c r="D105" s="8" t="str">
        <f t="shared" si="26"/>
        <v>W&amp;M</v>
      </c>
      <c r="E105" s="148">
        <v>14.3</v>
      </c>
      <c r="F105">
        <v>5</v>
      </c>
      <c r="H105" s="55">
        <f t="shared" si="27"/>
      </c>
      <c r="J105" s="12"/>
    </row>
    <row r="106" spans="1:10" ht="12.75">
      <c r="A106" s="6">
        <v>4</v>
      </c>
      <c r="B106" s="138">
        <v>4</v>
      </c>
      <c r="C106" s="8" t="str">
        <f t="shared" si="25"/>
        <v>A Jardine</v>
      </c>
      <c r="D106" s="8" t="str">
        <f t="shared" si="26"/>
        <v>WB</v>
      </c>
      <c r="E106" s="148">
        <v>14.7</v>
      </c>
      <c r="F106">
        <v>3</v>
      </c>
      <c r="H106" s="55">
        <f t="shared" si="27"/>
      </c>
      <c r="J106" s="12"/>
    </row>
    <row r="107" spans="1:10" ht="12.75">
      <c r="A107" s="6">
        <v>5</v>
      </c>
      <c r="B107" s="138"/>
      <c r="C107" s="8">
        <f t="shared" si="25"/>
      </c>
      <c r="D107" s="8">
        <f t="shared" si="26"/>
      </c>
      <c r="E107" s="148"/>
      <c r="F107">
        <v>2</v>
      </c>
      <c r="H107" s="55">
        <f t="shared" si="27"/>
      </c>
      <c r="J107" s="12"/>
    </row>
    <row r="108" spans="1:10" ht="12.75">
      <c r="A108" s="6">
        <v>6</v>
      </c>
      <c r="B108" s="138"/>
      <c r="C108" s="8">
        <f t="shared" si="25"/>
      </c>
      <c r="D108" s="8">
        <f t="shared" si="26"/>
      </c>
      <c r="E108" s="148"/>
      <c r="F108">
        <v>1</v>
      </c>
      <c r="H108" s="55">
        <f t="shared" si="27"/>
      </c>
      <c r="J108" s="12"/>
    </row>
    <row r="110" spans="1:18" s="14" customFormat="1" ht="12.75">
      <c r="A110" s="14" t="s">
        <v>244</v>
      </c>
      <c r="B110" s="143"/>
      <c r="E110" s="143"/>
      <c r="G110" s="51"/>
      <c r="H110" s="51"/>
      <c r="K110" s="160"/>
      <c r="Q110" s="51"/>
      <c r="R110" s="51"/>
    </row>
    <row r="111" ht="12.75">
      <c r="A111" t="s">
        <v>32</v>
      </c>
    </row>
    <row r="112" spans="1:16" ht="12.75">
      <c r="A112" s="1" t="s">
        <v>0</v>
      </c>
      <c r="B112" s="134" t="s">
        <v>1</v>
      </c>
      <c r="C112" s="3" t="s">
        <v>2</v>
      </c>
      <c r="D112" s="4" t="s">
        <v>3</v>
      </c>
      <c r="E112" s="147" t="s">
        <v>4</v>
      </c>
      <c r="F112" s="16" t="s">
        <v>114</v>
      </c>
      <c r="I112" t="s">
        <v>6</v>
      </c>
      <c r="J112" s="12">
        <v>23.4</v>
      </c>
      <c r="K112" s="158" t="s">
        <v>243</v>
      </c>
      <c r="L112" s="2"/>
      <c r="M112" s="3"/>
      <c r="N112" s="4"/>
      <c r="O112" s="5"/>
      <c r="P112" s="16"/>
    </row>
    <row r="113" spans="1:15" ht="12.75">
      <c r="A113" s="6">
        <v>1</v>
      </c>
      <c r="B113" s="138">
        <v>11</v>
      </c>
      <c r="C113" s="8" t="str">
        <f aca="true" t="shared" si="28" ref="C113:C118">IF(OR($B113=0,$B113=""),"",VLOOKUP($B113,jb200m,2,FALSE))</f>
        <v>S Elwood</v>
      </c>
      <c r="D113" s="8" t="str">
        <f aca="true" t="shared" si="29" ref="D113:D118">IF(OR($B113=0,$B113=""),"",VLOOKUP($B113,jb200m,3,FALSE))</f>
        <v>WOK</v>
      </c>
      <c r="E113" s="155">
        <v>24.6</v>
      </c>
      <c r="F113" s="42" t="s">
        <v>123</v>
      </c>
      <c r="G113" s="55">
        <f>IF(E113="","",IF(E113&gt;J112,"","CBP"))</f>
      </c>
      <c r="H113" s="55">
        <f aca="true" t="shared" si="30" ref="H113:H126">IF(E113="","",IF(E113&gt;J$113,"","ESQ"))</f>
      </c>
      <c r="I113" t="s">
        <v>26</v>
      </c>
      <c r="J113" s="12">
        <v>24</v>
      </c>
      <c r="K113" s="158"/>
      <c r="L113" s="7"/>
      <c r="M113" s="44"/>
      <c r="N113" s="44"/>
      <c r="O113" s="43"/>
    </row>
    <row r="114" spans="1:15" ht="12.75">
      <c r="A114" s="6">
        <v>2</v>
      </c>
      <c r="B114" s="138">
        <v>5</v>
      </c>
      <c r="C114" s="8" t="str">
        <f t="shared" si="28"/>
        <v>Gabriel Isaacs</v>
      </c>
      <c r="D114" s="8" t="str">
        <f t="shared" si="29"/>
        <v>RDG</v>
      </c>
      <c r="E114" s="155">
        <v>24.7</v>
      </c>
      <c r="F114" s="42" t="s">
        <v>123</v>
      </c>
      <c r="H114" s="55">
        <f t="shared" si="30"/>
      </c>
      <c r="J114" s="12"/>
      <c r="K114" s="158"/>
      <c r="L114" s="7"/>
      <c r="M114" s="8"/>
      <c r="N114" s="8"/>
      <c r="O114" s="9"/>
    </row>
    <row r="115" spans="1:15" ht="12.75">
      <c r="A115" s="6">
        <v>3</v>
      </c>
      <c r="B115" s="138">
        <v>4</v>
      </c>
      <c r="C115" s="8" t="str">
        <f t="shared" si="28"/>
        <v>B Newman</v>
      </c>
      <c r="D115" s="8" t="str">
        <f t="shared" si="29"/>
        <v>WB</v>
      </c>
      <c r="E115" s="155">
        <v>26.1</v>
      </c>
      <c r="F115" s="42" t="s">
        <v>123</v>
      </c>
      <c r="H115" s="55">
        <f t="shared" si="30"/>
      </c>
      <c r="J115" s="12"/>
      <c r="K115" s="158"/>
      <c r="L115" s="10"/>
      <c r="M115" s="8"/>
      <c r="N115" s="8"/>
      <c r="O115" s="9"/>
    </row>
    <row r="116" spans="1:15" ht="12.75">
      <c r="A116" s="6">
        <v>4</v>
      </c>
      <c r="B116" s="138">
        <v>1</v>
      </c>
      <c r="C116" s="8" t="str">
        <f t="shared" si="28"/>
        <v>R Probert</v>
      </c>
      <c r="D116" s="8" t="str">
        <f t="shared" si="29"/>
        <v>BRK</v>
      </c>
      <c r="E116" s="155">
        <v>27.3</v>
      </c>
      <c r="F116" s="42"/>
      <c r="H116" s="55">
        <f t="shared" si="30"/>
      </c>
      <c r="J116" s="12"/>
      <c r="K116" s="158"/>
      <c r="L116" s="11"/>
      <c r="M116" s="8"/>
      <c r="N116" s="8"/>
      <c r="O116" s="9"/>
    </row>
    <row r="117" spans="1:15" ht="12.75">
      <c r="A117" s="6">
        <v>5</v>
      </c>
      <c r="B117" s="138">
        <v>10</v>
      </c>
      <c r="C117" s="8" t="str">
        <f t="shared" si="28"/>
        <v>Michael Wilson</v>
      </c>
      <c r="D117" s="8" t="str">
        <f t="shared" si="29"/>
        <v>W&amp;M</v>
      </c>
      <c r="E117" s="155">
        <v>27.6</v>
      </c>
      <c r="H117" s="55">
        <f t="shared" si="30"/>
      </c>
      <c r="J117" s="12"/>
      <c r="K117" s="158"/>
      <c r="L117" s="6"/>
      <c r="M117" s="8"/>
      <c r="N117" s="8"/>
      <c r="O117" s="9"/>
    </row>
    <row r="118" spans="1:15" ht="12.75">
      <c r="A118" s="6">
        <v>6</v>
      </c>
      <c r="B118" s="145"/>
      <c r="C118" s="8">
        <f t="shared" si="28"/>
      </c>
      <c r="D118" s="8">
        <f t="shared" si="29"/>
      </c>
      <c r="E118" s="148"/>
      <c r="H118" s="55">
        <f t="shared" si="30"/>
      </c>
      <c r="J118" s="12"/>
      <c r="K118" s="158"/>
      <c r="L118" s="10"/>
      <c r="M118" s="8"/>
      <c r="N118" s="8"/>
      <c r="O118" s="9"/>
    </row>
    <row r="119" spans="1:8" ht="12.75">
      <c r="A119" t="s">
        <v>33</v>
      </c>
      <c r="E119" s="156"/>
      <c r="H119" s="55">
        <f t="shared" si="30"/>
      </c>
    </row>
    <row r="120" spans="1:8" ht="12.75">
      <c r="A120" s="1" t="s">
        <v>0</v>
      </c>
      <c r="B120" s="134" t="s">
        <v>1</v>
      </c>
      <c r="C120" s="3" t="s">
        <v>2</v>
      </c>
      <c r="D120" s="4" t="s">
        <v>3</v>
      </c>
      <c r="E120" s="147" t="s">
        <v>4</v>
      </c>
      <c r="F120" s="16" t="s">
        <v>114</v>
      </c>
      <c r="H120" s="55">
        <f t="shared" si="30"/>
      </c>
    </row>
    <row r="121" spans="1:8" ht="12.75">
      <c r="A121" s="6">
        <v>1</v>
      </c>
      <c r="B121" s="138">
        <v>7</v>
      </c>
      <c r="C121" s="8" t="str">
        <f aca="true" t="shared" si="31" ref="C121:C126">IF(OR($B121=0,$B121=""),"",VLOOKUP($B121,jb200m,2,FALSE))</f>
        <v>Louis DaCosta</v>
      </c>
      <c r="D121" s="8" t="str">
        <f aca="true" t="shared" si="32" ref="D121:D126">IF(OR($B121=0,$B121=""),"",VLOOKUP($B121,jb200m,3,FALSE))</f>
        <v>SL</v>
      </c>
      <c r="E121" s="148">
        <v>24.4</v>
      </c>
      <c r="F121" s="42" t="s">
        <v>123</v>
      </c>
      <c r="G121" s="55">
        <f>IF(E121="","",IF(E121&gt;J112,"","CBP"))</f>
      </c>
      <c r="H121" s="55">
        <f t="shared" si="30"/>
      </c>
    </row>
    <row r="122" spans="1:8" ht="12.75">
      <c r="A122" s="6">
        <v>2</v>
      </c>
      <c r="B122" s="138">
        <v>8</v>
      </c>
      <c r="C122" s="8" t="str">
        <f t="shared" si="31"/>
        <v>Frank Cotter</v>
      </c>
      <c r="D122" s="8" t="str">
        <f t="shared" si="32"/>
        <v>SL</v>
      </c>
      <c r="E122" s="148">
        <v>25.6</v>
      </c>
      <c r="F122" s="42" t="s">
        <v>123</v>
      </c>
      <c r="H122" s="55">
        <f t="shared" si="30"/>
      </c>
    </row>
    <row r="123" spans="1:8" ht="12.75">
      <c r="A123" s="6">
        <v>3</v>
      </c>
      <c r="B123" s="138">
        <v>9</v>
      </c>
      <c r="C123" s="8" t="str">
        <f t="shared" si="31"/>
        <v>Louis Francis</v>
      </c>
      <c r="D123" s="8" t="str">
        <f t="shared" si="32"/>
        <v>W&amp;M</v>
      </c>
      <c r="E123" s="148">
        <v>25.7</v>
      </c>
      <c r="F123" s="42" t="s">
        <v>123</v>
      </c>
      <c r="H123" s="55">
        <f t="shared" si="30"/>
      </c>
    </row>
    <row r="124" spans="1:8" ht="12.75">
      <c r="A124" s="6">
        <v>4</v>
      </c>
      <c r="B124" s="138">
        <v>3</v>
      </c>
      <c r="C124" s="8" t="str">
        <f t="shared" si="31"/>
        <v>T Hills</v>
      </c>
      <c r="D124" s="8" t="str">
        <f t="shared" si="32"/>
        <v>WB</v>
      </c>
      <c r="E124" s="148">
        <v>26.7</v>
      </c>
      <c r="F124" s="42"/>
      <c r="H124" s="55">
        <f t="shared" si="30"/>
      </c>
    </row>
    <row r="125" spans="1:8" ht="12.75">
      <c r="A125" s="6">
        <v>5</v>
      </c>
      <c r="B125" s="138">
        <v>2</v>
      </c>
      <c r="C125" s="8" t="str">
        <f t="shared" si="31"/>
        <v>G Aurelien</v>
      </c>
      <c r="D125" s="8" t="str">
        <f t="shared" si="32"/>
        <v>BRK</v>
      </c>
      <c r="E125" s="148">
        <v>29.4</v>
      </c>
      <c r="H125" s="55">
        <f t="shared" si="30"/>
      </c>
    </row>
    <row r="126" spans="1:8" ht="12.75">
      <c r="A126" s="6">
        <v>6</v>
      </c>
      <c r="B126" s="138"/>
      <c r="C126" s="8">
        <f t="shared" si="31"/>
      </c>
      <c r="D126" s="8">
        <f t="shared" si="32"/>
      </c>
      <c r="E126" s="148"/>
      <c r="H126" s="55">
        <f t="shared" si="30"/>
      </c>
    </row>
    <row r="127" ht="12.75">
      <c r="H127" s="55">
        <f>IF(E127="","",IF(E127&gt;J119,"","ESQ"))</f>
      </c>
    </row>
    <row r="128" spans="1:10" ht="12.75">
      <c r="A128" s="14" t="s">
        <v>1409</v>
      </c>
      <c r="B128" s="143"/>
      <c r="C128" s="14"/>
      <c r="D128" s="14"/>
      <c r="E128" s="143"/>
      <c r="F128" s="14"/>
      <c r="G128" s="51"/>
      <c r="H128" s="51"/>
      <c r="I128" s="14"/>
      <c r="J128" s="14"/>
    </row>
    <row r="130" spans="1:11" ht="12.75">
      <c r="A130" s="1" t="s">
        <v>0</v>
      </c>
      <c r="B130" s="134" t="s">
        <v>1</v>
      </c>
      <c r="C130" s="3" t="s">
        <v>2</v>
      </c>
      <c r="D130" s="4" t="s">
        <v>3</v>
      </c>
      <c r="E130" s="147" t="s">
        <v>4</v>
      </c>
      <c r="F130" s="16" t="s">
        <v>24</v>
      </c>
      <c r="I130" t="s">
        <v>6</v>
      </c>
      <c r="J130" s="12">
        <v>37</v>
      </c>
      <c r="K130" s="158"/>
    </row>
    <row r="131" spans="1:10" ht="12.75">
      <c r="A131" s="6">
        <v>1</v>
      </c>
      <c r="B131" s="138">
        <v>11</v>
      </c>
      <c r="C131" s="8" t="str">
        <f aca="true" t="shared" si="33" ref="C131:C136">IF(OR($B131=0,$B131=""),"",VLOOKUP($B131,jb400m,2,FALSE))</f>
        <v>C Grant</v>
      </c>
      <c r="D131" s="8" t="str">
        <f aca="true" t="shared" si="34" ref="D131:D136">IF(OR($B131=0,$B131=""),"",VLOOKUP($B131,jb400m,3,FALSE))</f>
        <v>WOK</v>
      </c>
      <c r="E131" s="148">
        <v>38.3</v>
      </c>
      <c r="F131">
        <v>6</v>
      </c>
      <c r="G131" s="55">
        <f>IF(E131="","",IF(E131&gt;J130,"","CBP"))</f>
      </c>
      <c r="H131" s="55">
        <f aca="true" t="shared" si="35" ref="H131:H136">IF(E131="","",IF(E131&gt;J$131,"","ESQ"))</f>
      </c>
      <c r="I131" t="s">
        <v>26</v>
      </c>
      <c r="J131" s="12">
        <v>38</v>
      </c>
    </row>
    <row r="132" spans="1:10" ht="12.75">
      <c r="A132" s="6">
        <v>2</v>
      </c>
      <c r="B132" s="138">
        <v>7</v>
      </c>
      <c r="C132" s="8" t="str">
        <f t="shared" si="33"/>
        <v>Toby Hope</v>
      </c>
      <c r="D132" s="8" t="str">
        <f t="shared" si="34"/>
        <v>SL</v>
      </c>
      <c r="E132" s="148">
        <v>38.7</v>
      </c>
      <c r="F132">
        <v>5</v>
      </c>
      <c r="H132" s="55">
        <f t="shared" si="35"/>
      </c>
      <c r="J132" s="12"/>
    </row>
    <row r="133" spans="1:10" ht="12.75">
      <c r="A133" s="6">
        <v>3</v>
      </c>
      <c r="B133" s="138">
        <v>12</v>
      </c>
      <c r="C133" s="8" t="str">
        <f t="shared" si="33"/>
        <v>J Nneke</v>
      </c>
      <c r="D133" s="8" t="str">
        <f t="shared" si="34"/>
        <v>WOK</v>
      </c>
      <c r="E133" s="148">
        <v>39.1</v>
      </c>
      <c r="F133">
        <v>4</v>
      </c>
      <c r="H133" s="55">
        <f t="shared" si="35"/>
      </c>
      <c r="J133" s="12"/>
    </row>
    <row r="134" spans="1:10" ht="12.75">
      <c r="A134" s="6">
        <v>4</v>
      </c>
      <c r="B134" s="138">
        <v>8</v>
      </c>
      <c r="C134" s="8" t="str">
        <f t="shared" si="33"/>
        <v>Oluwatosin Odunsi</v>
      </c>
      <c r="D134" s="8" t="str">
        <f t="shared" si="34"/>
        <v>SL</v>
      </c>
      <c r="E134" s="148">
        <v>42.2</v>
      </c>
      <c r="F134">
        <v>3</v>
      </c>
      <c r="H134" s="55">
        <f t="shared" si="35"/>
      </c>
      <c r="J134" s="12"/>
    </row>
    <row r="135" spans="1:10" ht="12.75">
      <c r="A135" s="6">
        <v>5</v>
      </c>
      <c r="B135" s="138">
        <v>1</v>
      </c>
      <c r="C135" s="8" t="str">
        <f t="shared" si="33"/>
        <v>J Norman</v>
      </c>
      <c r="D135" s="8" t="str">
        <f t="shared" si="34"/>
        <v>BRK</v>
      </c>
      <c r="E135" s="148">
        <v>42.5</v>
      </c>
      <c r="F135">
        <v>2</v>
      </c>
      <c r="H135" s="55">
        <f t="shared" si="35"/>
      </c>
      <c r="J135" s="12"/>
    </row>
    <row r="136" spans="1:10" ht="12.75">
      <c r="A136" s="6">
        <v>6</v>
      </c>
      <c r="B136" s="138"/>
      <c r="C136" s="8">
        <f t="shared" si="33"/>
      </c>
      <c r="D136" s="8">
        <f t="shared" si="34"/>
      </c>
      <c r="E136" s="148"/>
      <c r="F136">
        <v>1</v>
      </c>
      <c r="H136" s="55">
        <f t="shared" si="35"/>
      </c>
      <c r="J136" s="12"/>
    </row>
    <row r="138" spans="1:10" ht="12.75">
      <c r="A138" s="14" t="s">
        <v>263</v>
      </c>
      <c r="B138" s="143"/>
      <c r="C138" s="14"/>
      <c r="D138" s="14"/>
      <c r="E138" s="143"/>
      <c r="F138" s="14"/>
      <c r="G138" s="51"/>
      <c r="H138" s="51"/>
      <c r="I138" s="14"/>
      <c r="J138" s="14"/>
    </row>
    <row r="140" spans="1:11" ht="12.75">
      <c r="A140" s="1" t="s">
        <v>0</v>
      </c>
      <c r="B140" s="134" t="s">
        <v>1</v>
      </c>
      <c r="C140" s="3" t="s">
        <v>2</v>
      </c>
      <c r="D140" s="4" t="s">
        <v>3</v>
      </c>
      <c r="E140" s="147" t="s">
        <v>4</v>
      </c>
      <c r="F140" s="16" t="s">
        <v>24</v>
      </c>
      <c r="I140" t="s">
        <v>6</v>
      </c>
      <c r="J140" s="12">
        <v>23.4</v>
      </c>
      <c r="K140" s="158" t="s">
        <v>243</v>
      </c>
    </row>
    <row r="141" spans="1:10" ht="12.75">
      <c r="A141" s="6">
        <v>1</v>
      </c>
      <c r="B141" s="138">
        <v>11</v>
      </c>
      <c r="C141" s="8" t="str">
        <f aca="true" t="shared" si="36" ref="C141:C146">IF(OR($B141=0,$B141=""),"",VLOOKUP($B141,jb200m,2,FALSE))</f>
        <v>S Elwood</v>
      </c>
      <c r="D141" s="8" t="str">
        <f aca="true" t="shared" si="37" ref="D141:D146">IF(OR($B141=0,$B141=""),"",VLOOKUP($B141,jb200m,3,FALSE))</f>
        <v>WOK</v>
      </c>
      <c r="E141" s="148">
        <v>24.2</v>
      </c>
      <c r="F141">
        <v>6</v>
      </c>
      <c r="G141" s="55">
        <f>IF(E141="","",IF(E141&gt;J140,"","CBP"))</f>
      </c>
      <c r="H141" s="55">
        <f aca="true" t="shared" si="38" ref="H141:H146">IF(E141="","",IF(E141&gt;J$141,"","ESQ"))</f>
      </c>
      <c r="I141" t="s">
        <v>26</v>
      </c>
      <c r="J141" s="12">
        <v>24</v>
      </c>
    </row>
    <row r="142" spans="1:10" ht="12.75">
      <c r="A142" s="6">
        <v>2</v>
      </c>
      <c r="B142" s="138">
        <v>5</v>
      </c>
      <c r="C142" s="8" t="str">
        <f t="shared" si="36"/>
        <v>Gabriel Isaacs</v>
      </c>
      <c r="D142" s="8" t="str">
        <f t="shared" si="37"/>
        <v>RDG</v>
      </c>
      <c r="E142" s="148">
        <v>25</v>
      </c>
      <c r="F142">
        <v>5</v>
      </c>
      <c r="H142" s="55">
        <f t="shared" si="38"/>
      </c>
      <c r="J142" s="12"/>
    </row>
    <row r="143" spans="1:10" ht="12.75">
      <c r="A143" s="6">
        <v>3</v>
      </c>
      <c r="B143" s="138">
        <v>7</v>
      </c>
      <c r="C143" s="8" t="str">
        <f t="shared" si="36"/>
        <v>Louis DaCosta</v>
      </c>
      <c r="D143" s="8" t="str">
        <f t="shared" si="37"/>
        <v>SL</v>
      </c>
      <c r="E143" s="148">
        <v>25.1</v>
      </c>
      <c r="F143">
        <v>4</v>
      </c>
      <c r="H143" s="55">
        <f t="shared" si="38"/>
      </c>
      <c r="J143" s="12"/>
    </row>
    <row r="144" spans="1:10" ht="12.75">
      <c r="A144" s="6">
        <v>4</v>
      </c>
      <c r="B144" s="138">
        <v>9</v>
      </c>
      <c r="C144" s="8" t="str">
        <f t="shared" si="36"/>
        <v>Louis Francis</v>
      </c>
      <c r="D144" s="8" t="str">
        <f t="shared" si="37"/>
        <v>W&amp;M</v>
      </c>
      <c r="E144" s="148">
        <v>25.7</v>
      </c>
      <c r="F144">
        <v>3</v>
      </c>
      <c r="H144" s="55">
        <f t="shared" si="38"/>
      </c>
      <c r="J144" s="12"/>
    </row>
    <row r="145" spans="1:10" ht="12.75">
      <c r="A145" s="6">
        <v>5</v>
      </c>
      <c r="B145" s="138">
        <v>8</v>
      </c>
      <c r="C145" s="8" t="str">
        <f t="shared" si="36"/>
        <v>Frank Cotter</v>
      </c>
      <c r="D145" s="8" t="str">
        <f t="shared" si="37"/>
        <v>SL</v>
      </c>
      <c r="E145" s="148">
        <v>26</v>
      </c>
      <c r="F145">
        <v>2</v>
      </c>
      <c r="H145" s="55">
        <f t="shared" si="38"/>
      </c>
      <c r="J145" s="12"/>
    </row>
    <row r="146" spans="1:10" ht="12.75">
      <c r="A146" s="6">
        <v>6</v>
      </c>
      <c r="B146" s="138">
        <v>4</v>
      </c>
      <c r="C146" s="8" t="str">
        <f t="shared" si="36"/>
        <v>B Newman</v>
      </c>
      <c r="D146" s="8" t="str">
        <f t="shared" si="37"/>
        <v>WB</v>
      </c>
      <c r="E146" s="148">
        <v>26.5</v>
      </c>
      <c r="F146">
        <v>1</v>
      </c>
      <c r="H146" s="55">
        <f t="shared" si="38"/>
      </c>
      <c r="J146" s="12"/>
    </row>
    <row r="148" spans="1:18" s="14" customFormat="1" ht="12.75">
      <c r="A148" s="14" t="s">
        <v>45</v>
      </c>
      <c r="B148" s="143"/>
      <c r="E148" s="143"/>
      <c r="G148" s="51"/>
      <c r="H148" s="51"/>
      <c r="K148" s="160"/>
      <c r="Q148" s="51"/>
      <c r="R148" s="51"/>
    </row>
    <row r="150" spans="1:10" ht="12.75">
      <c r="A150" s="14" t="s">
        <v>46</v>
      </c>
      <c r="B150" s="143"/>
      <c r="C150" s="14"/>
      <c r="D150" s="14"/>
      <c r="E150" s="143"/>
      <c r="F150" s="14"/>
      <c r="G150" s="51"/>
      <c r="H150" s="51"/>
      <c r="I150" s="14"/>
      <c r="J150" s="14"/>
    </row>
    <row r="152" spans="1:11" ht="12.75">
      <c r="A152" s="1" t="s">
        <v>0</v>
      </c>
      <c r="B152" s="134" t="s">
        <v>1</v>
      </c>
      <c r="C152" s="3" t="s">
        <v>2</v>
      </c>
      <c r="D152" s="4" t="s">
        <v>3</v>
      </c>
      <c r="E152" s="147" t="s">
        <v>4</v>
      </c>
      <c r="F152" s="16" t="s">
        <v>24</v>
      </c>
      <c r="I152" t="s">
        <v>6</v>
      </c>
      <c r="J152" s="17">
        <v>69.1</v>
      </c>
      <c r="K152" s="161" t="s">
        <v>270</v>
      </c>
    </row>
    <row r="153" spans="1:10" ht="12.75">
      <c r="A153" s="6">
        <v>1</v>
      </c>
      <c r="B153" s="138">
        <v>5</v>
      </c>
      <c r="C153" s="8" t="str">
        <f aca="true" t="shared" si="39" ref="C153:C158">IF(OR($B153=0,$B153=""),"",VLOOKUP($B153,jbht,2,FALSE))</f>
        <v>Jamie Bonella-Duke</v>
      </c>
      <c r="D153" s="8" t="str">
        <f aca="true" t="shared" si="40" ref="D153:D158">IF(OR($B153=0,$B153=""),"",VLOOKUP($B153,jbht,3,FALSE))</f>
        <v>RDG</v>
      </c>
      <c r="E153" s="151">
        <v>41.98</v>
      </c>
      <c r="F153">
        <v>6</v>
      </c>
      <c r="G153" s="55">
        <f>IF(E153="","",IF(E153&lt;J152,"","CBP"))</f>
      </c>
      <c r="H153" s="55" t="str">
        <f aca="true" t="shared" si="41" ref="H153:H158">IF(E153="","",IF(E153&lt;J$153,"","ESQ"))</f>
        <v>ESQ</v>
      </c>
      <c r="I153" t="s">
        <v>26</v>
      </c>
      <c r="J153" s="17">
        <v>38</v>
      </c>
    </row>
    <row r="154" spans="1:10" ht="12.75">
      <c r="A154" s="6">
        <v>2</v>
      </c>
      <c r="B154" s="138"/>
      <c r="C154" s="8">
        <f t="shared" si="39"/>
      </c>
      <c r="D154" s="8">
        <f t="shared" si="40"/>
      </c>
      <c r="E154" s="151"/>
      <c r="F154">
        <v>5</v>
      </c>
      <c r="H154" s="55">
        <f t="shared" si="41"/>
      </c>
      <c r="J154" s="12"/>
    </row>
    <row r="155" spans="1:10" ht="12.75">
      <c r="A155" s="6">
        <v>3</v>
      </c>
      <c r="B155" s="145"/>
      <c r="C155" s="8">
        <f t="shared" si="39"/>
      </c>
      <c r="D155" s="8">
        <f t="shared" si="40"/>
      </c>
      <c r="E155" s="151"/>
      <c r="F155">
        <v>4</v>
      </c>
      <c r="H155" s="55">
        <f t="shared" si="41"/>
      </c>
      <c r="J155" s="12"/>
    </row>
    <row r="156" spans="1:10" ht="12.75">
      <c r="A156" s="6">
        <v>4</v>
      </c>
      <c r="B156" s="141"/>
      <c r="C156" s="8">
        <f t="shared" si="39"/>
      </c>
      <c r="D156" s="8">
        <f t="shared" si="40"/>
      </c>
      <c r="E156" s="151"/>
      <c r="F156">
        <v>3</v>
      </c>
      <c r="H156" s="55">
        <f t="shared" si="41"/>
      </c>
      <c r="J156" s="12"/>
    </row>
    <row r="157" spans="1:10" ht="12.75">
      <c r="A157" s="6">
        <v>5</v>
      </c>
      <c r="B157" s="132"/>
      <c r="C157" s="8">
        <f t="shared" si="39"/>
      </c>
      <c r="D157" s="8">
        <f t="shared" si="40"/>
      </c>
      <c r="E157" s="151"/>
      <c r="F157">
        <v>2</v>
      </c>
      <c r="H157" s="55">
        <f t="shared" si="41"/>
      </c>
      <c r="J157" s="12"/>
    </row>
    <row r="158" spans="1:10" ht="12.75">
      <c r="A158" s="6">
        <v>6</v>
      </c>
      <c r="B158" s="145"/>
      <c r="C158" s="8">
        <f t="shared" si="39"/>
      </c>
      <c r="D158" s="8">
        <f t="shared" si="40"/>
      </c>
      <c r="E158" s="151"/>
      <c r="F158">
        <v>1</v>
      </c>
      <c r="H158" s="55">
        <f t="shared" si="41"/>
      </c>
      <c r="J158" s="12"/>
    </row>
    <row r="160" spans="1:10" ht="12.75">
      <c r="A160" s="14" t="s">
        <v>142</v>
      </c>
      <c r="B160" s="143"/>
      <c r="C160" s="14"/>
      <c r="D160" s="14"/>
      <c r="E160" s="143"/>
      <c r="F160" s="14"/>
      <c r="G160" s="51"/>
      <c r="H160" s="51"/>
      <c r="I160" s="14"/>
      <c r="J160" s="14"/>
    </row>
    <row r="162" spans="1:11" ht="12.75">
      <c r="A162" s="1" t="s">
        <v>0</v>
      </c>
      <c r="B162" s="134" t="s">
        <v>1</v>
      </c>
      <c r="C162" s="3" t="s">
        <v>2</v>
      </c>
      <c r="D162" s="4" t="s">
        <v>3</v>
      </c>
      <c r="E162" s="147" t="s">
        <v>4</v>
      </c>
      <c r="F162" s="16" t="s">
        <v>24</v>
      </c>
      <c r="I162" t="s">
        <v>6</v>
      </c>
      <c r="J162" s="17">
        <v>15.26</v>
      </c>
      <c r="K162" s="161" t="s">
        <v>279</v>
      </c>
    </row>
    <row r="163" spans="1:10" ht="12.75">
      <c r="A163" s="6">
        <v>1</v>
      </c>
      <c r="B163" s="138" t="s">
        <v>743</v>
      </c>
      <c r="C163" s="8" t="str">
        <f aca="true" t="shared" si="42" ref="C163:C175">IF(OR($B163=0,$B163=""),"",VLOOKUP($B163,jbsp,2,FALSE))</f>
        <v>Hardeep Heer</v>
      </c>
      <c r="D163" s="8" t="str">
        <f aca="true" t="shared" si="43" ref="D163:D175">IF(OR($B163=0,$B163=""),"",VLOOKUP($B163,jbsp,3,FALSE))</f>
        <v>SL</v>
      </c>
      <c r="E163" s="151">
        <v>11.89</v>
      </c>
      <c r="F163">
        <v>6</v>
      </c>
      <c r="G163" s="55">
        <f>IF(E163="","",IF(E163&lt;J162,"","CBP"))</f>
      </c>
      <c r="H163" s="55">
        <f>IF(E163="","",IF(E163&lt;J$163,"","ESQ"))</f>
      </c>
      <c r="I163" t="s">
        <v>26</v>
      </c>
      <c r="J163" s="17">
        <v>12.3</v>
      </c>
    </row>
    <row r="164" spans="1:10" ht="12.75">
      <c r="A164" s="6">
        <v>2</v>
      </c>
      <c r="B164" s="138">
        <v>6</v>
      </c>
      <c r="C164" s="8" t="str">
        <f t="shared" si="42"/>
        <v>E Obienu</v>
      </c>
      <c r="D164" s="8" t="str">
        <f t="shared" si="43"/>
        <v>RDG</v>
      </c>
      <c r="E164" s="151">
        <v>11.01</v>
      </c>
      <c r="F164">
        <v>5</v>
      </c>
      <c r="H164" s="55">
        <f aca="true" t="shared" si="44" ref="H164:H175">IF(E164="","",IF(E164&lt;J$163,"","ESQ"))</f>
      </c>
      <c r="J164" s="12"/>
    </row>
    <row r="165" spans="1:10" ht="12.75">
      <c r="A165" s="6">
        <v>3</v>
      </c>
      <c r="B165" s="145">
        <v>4</v>
      </c>
      <c r="C165" s="8" t="str">
        <f t="shared" si="42"/>
        <v>O Gregory</v>
      </c>
      <c r="D165" s="8" t="str">
        <f t="shared" si="43"/>
        <v>WB</v>
      </c>
      <c r="E165" s="151">
        <v>10.92</v>
      </c>
      <c r="F165">
        <v>4</v>
      </c>
      <c r="H165" s="55">
        <f t="shared" si="44"/>
      </c>
      <c r="J165" s="12"/>
    </row>
    <row r="166" spans="1:10" ht="12.75">
      <c r="A166" s="6">
        <v>4</v>
      </c>
      <c r="B166" s="141">
        <v>3</v>
      </c>
      <c r="C166" s="8" t="str">
        <f t="shared" si="42"/>
        <v>Conor Sitton</v>
      </c>
      <c r="D166" s="8" t="str">
        <f t="shared" si="43"/>
        <v>WB</v>
      </c>
      <c r="E166" s="151">
        <v>10.85</v>
      </c>
      <c r="F166">
        <v>3</v>
      </c>
      <c r="H166" s="55">
        <f t="shared" si="44"/>
      </c>
      <c r="J166" s="12"/>
    </row>
    <row r="167" spans="1:10" ht="12.75">
      <c r="A167" s="6">
        <v>5</v>
      </c>
      <c r="B167" s="132">
        <v>11</v>
      </c>
      <c r="C167" s="8" t="str">
        <f t="shared" si="42"/>
        <v>D Osagie</v>
      </c>
      <c r="D167" s="8" t="str">
        <f t="shared" si="43"/>
        <v>WOK</v>
      </c>
      <c r="E167" s="151">
        <v>10.47</v>
      </c>
      <c r="F167">
        <v>2</v>
      </c>
      <c r="H167" s="55">
        <f t="shared" si="44"/>
      </c>
      <c r="J167" s="12"/>
    </row>
    <row r="168" spans="1:10" ht="12.75">
      <c r="A168" s="6">
        <v>6</v>
      </c>
      <c r="B168" s="145">
        <v>10</v>
      </c>
      <c r="C168" s="8" t="str">
        <f t="shared" si="42"/>
        <v>David Saab</v>
      </c>
      <c r="D168" s="8" t="str">
        <f t="shared" si="43"/>
        <v>W&amp;M</v>
      </c>
      <c r="E168" s="151">
        <v>10.06</v>
      </c>
      <c r="F168">
        <v>1</v>
      </c>
      <c r="H168" s="55">
        <f t="shared" si="44"/>
      </c>
      <c r="J168" s="12"/>
    </row>
    <row r="169" spans="1:8" ht="12.75">
      <c r="A169" s="6">
        <v>7</v>
      </c>
      <c r="B169" s="301">
        <v>8</v>
      </c>
      <c r="C169" s="8" t="str">
        <f t="shared" si="42"/>
        <v>Ricky Villa-Abrille</v>
      </c>
      <c r="D169" s="8" t="str">
        <f t="shared" si="43"/>
        <v>SL</v>
      </c>
      <c r="E169" s="152">
        <v>9.69</v>
      </c>
      <c r="H169" s="55">
        <f t="shared" si="44"/>
      </c>
    </row>
    <row r="170" spans="1:8" ht="12.75">
      <c r="A170" s="6">
        <v>8</v>
      </c>
      <c r="B170" s="301">
        <v>9</v>
      </c>
      <c r="C170" s="8" t="str">
        <f t="shared" si="42"/>
        <v>Tom Wakely</v>
      </c>
      <c r="D170" s="8" t="str">
        <f t="shared" si="43"/>
        <v>W&amp;M</v>
      </c>
      <c r="E170" s="152">
        <v>9.69</v>
      </c>
      <c r="H170" s="55">
        <f t="shared" si="44"/>
      </c>
    </row>
    <row r="171" spans="1:8" ht="12.75">
      <c r="A171" s="6">
        <v>9</v>
      </c>
      <c r="B171" s="301">
        <v>1</v>
      </c>
      <c r="C171" s="8" t="str">
        <f t="shared" si="42"/>
        <v>A Armedilla</v>
      </c>
      <c r="D171" s="8" t="str">
        <f t="shared" si="43"/>
        <v>BRK</v>
      </c>
      <c r="E171" s="152">
        <v>9.42</v>
      </c>
      <c r="H171" s="55">
        <f t="shared" si="44"/>
      </c>
    </row>
    <row r="172" spans="1:8" ht="12.75">
      <c r="A172" s="6">
        <v>10</v>
      </c>
      <c r="B172" s="301">
        <v>2</v>
      </c>
      <c r="C172" s="8" t="str">
        <f t="shared" si="42"/>
        <v>J Berry</v>
      </c>
      <c r="D172" s="8" t="str">
        <f t="shared" si="43"/>
        <v>BRK</v>
      </c>
      <c r="E172" s="152">
        <v>9.37</v>
      </c>
      <c r="H172" s="55">
        <f t="shared" si="44"/>
      </c>
    </row>
    <row r="173" spans="1:8" ht="12.75">
      <c r="A173" s="6">
        <v>11</v>
      </c>
      <c r="B173" s="301">
        <v>7</v>
      </c>
      <c r="C173" s="8" t="str">
        <f t="shared" si="42"/>
        <v>Eddie Davies</v>
      </c>
      <c r="D173" s="8" t="str">
        <f t="shared" si="43"/>
        <v>SL</v>
      </c>
      <c r="E173" s="152">
        <v>9.36</v>
      </c>
      <c r="H173" s="55">
        <f t="shared" si="44"/>
      </c>
    </row>
    <row r="174" spans="1:8" ht="12.75">
      <c r="A174" s="6">
        <v>12</v>
      </c>
      <c r="B174" s="301">
        <v>12</v>
      </c>
      <c r="C174" s="8" t="str">
        <f t="shared" si="42"/>
        <v>B David</v>
      </c>
      <c r="D174" s="8" t="str">
        <f t="shared" si="43"/>
        <v>WOK</v>
      </c>
      <c r="E174" s="152">
        <v>9.34</v>
      </c>
      <c r="H174" s="55">
        <f t="shared" si="44"/>
      </c>
    </row>
    <row r="175" spans="1:8" ht="12.75">
      <c r="A175" s="6">
        <v>13</v>
      </c>
      <c r="B175" s="301">
        <v>5</v>
      </c>
      <c r="C175" s="8" t="str">
        <f t="shared" si="42"/>
        <v>Josh Gawman</v>
      </c>
      <c r="D175" s="8" t="str">
        <f t="shared" si="43"/>
        <v>RDG</v>
      </c>
      <c r="E175" s="152">
        <v>8.28</v>
      </c>
      <c r="H175" s="55">
        <f t="shared" si="44"/>
      </c>
    </row>
    <row r="176" spans="1:5" ht="12.75">
      <c r="A176" s="6"/>
      <c r="C176" s="8"/>
      <c r="D176" s="8"/>
      <c r="E176" s="153"/>
    </row>
    <row r="177" spans="1:10" ht="12.75">
      <c r="A177" s="14" t="s">
        <v>143</v>
      </c>
      <c r="B177" s="143"/>
      <c r="C177" s="14"/>
      <c r="D177" s="14"/>
      <c r="E177" s="143"/>
      <c r="F177" s="14"/>
      <c r="G177" s="51"/>
      <c r="H177" s="51"/>
      <c r="I177" s="14"/>
      <c r="J177" s="14"/>
    </row>
    <row r="179" spans="1:10" ht="12.75">
      <c r="A179" s="1" t="s">
        <v>0</v>
      </c>
      <c r="B179" s="134" t="s">
        <v>1</v>
      </c>
      <c r="C179" s="3" t="s">
        <v>2</v>
      </c>
      <c r="D179" s="4" t="s">
        <v>3</v>
      </c>
      <c r="E179" s="147" t="s">
        <v>4</v>
      </c>
      <c r="F179" s="16" t="s">
        <v>24</v>
      </c>
      <c r="I179" t="s">
        <v>6</v>
      </c>
      <c r="J179" s="17">
        <v>3.2</v>
      </c>
    </row>
    <row r="180" spans="1:10" ht="12.75">
      <c r="A180" s="6">
        <v>1</v>
      </c>
      <c r="B180" s="138">
        <v>12</v>
      </c>
      <c r="C180" s="8" t="str">
        <f>IF(OR($B180=0,$B180=""),"",VLOOKUP($B180,jbpv,2,FALSE))</f>
        <v>Toby Irving</v>
      </c>
      <c r="D180" s="8" t="str">
        <f>IF(OR($B180=0,$B180=""),"",VLOOKUP($B180,jbpv,3,FALSE))</f>
        <v>WOK</v>
      </c>
      <c r="E180" s="151">
        <v>3.1</v>
      </c>
      <c r="F180">
        <v>6</v>
      </c>
      <c r="G180" s="55">
        <f>IF(E180="","",IF(E180&lt;J179,"","CBP"))</f>
      </c>
      <c r="H180" s="55" t="str">
        <f>IF(E180="","",IF(E180&lt;J$180,"","ESQ"))</f>
        <v>ESQ</v>
      </c>
      <c r="I180" t="s">
        <v>26</v>
      </c>
      <c r="J180" s="17">
        <v>3.05</v>
      </c>
    </row>
    <row r="181" spans="1:10" ht="12.75">
      <c r="A181" s="6">
        <v>2</v>
      </c>
      <c r="B181" s="138"/>
      <c r="C181" s="8">
        <f>IF(OR($B181=0,$B181=""),"",VLOOKUP($B181,jbpv,2,FALSE))</f>
      </c>
      <c r="D181" s="8">
        <f>IF(OR($B181=0,$B181=""),"",VLOOKUP($B181,jbpv,3,FALSE))</f>
      </c>
      <c r="E181" s="151"/>
      <c r="F181">
        <v>5</v>
      </c>
      <c r="H181" s="55">
        <f>IF(E181="","",IF(E181&lt;J$180,"","ESQ"))</f>
      </c>
      <c r="J181" s="12"/>
    </row>
    <row r="182" spans="1:10" ht="12.75">
      <c r="A182" s="6">
        <v>3</v>
      </c>
      <c r="B182" s="145"/>
      <c r="C182" s="8">
        <f>IF(OR($B182=0,$B182=""),"",VLOOKUP($B182,jbpv,2,FALSE))</f>
      </c>
      <c r="D182" s="8">
        <f>IF(OR($B182=0,$B182=""),"",VLOOKUP($B182,jbpv,3,FALSE))</f>
      </c>
      <c r="E182" s="151"/>
      <c r="F182">
        <v>4</v>
      </c>
      <c r="H182" s="55">
        <f>IF(E182="","",IF(E182&lt;J$180,"","ESQ"))</f>
      </c>
      <c r="J182" s="12"/>
    </row>
    <row r="183" spans="1:10" ht="12.75">
      <c r="A183" s="6">
        <v>4</v>
      </c>
      <c r="B183" s="141"/>
      <c r="C183" s="8">
        <f>IF(OR($B183=0,$B183=""),"",VLOOKUP($B183,jbpv,2,FALSE))</f>
      </c>
      <c r="D183" s="8">
        <f>IF(OR($B183=0,$B183=""),"",VLOOKUP($B183,jbpv,3,FALSE))</f>
      </c>
      <c r="E183" s="151"/>
      <c r="F183">
        <v>3</v>
      </c>
      <c r="H183" s="55">
        <f>IF(E183="","",IF(E183&lt;J$180,"","ESQ"))</f>
      </c>
      <c r="J183" s="12"/>
    </row>
    <row r="184" spans="1:10" ht="12.75">
      <c r="A184" s="6">
        <v>5</v>
      </c>
      <c r="B184" s="132"/>
      <c r="C184" s="8">
        <f>IF(OR($B184=0,$B184=""),"",VLOOKUP($B184,jbpv,2,FALSE))</f>
      </c>
      <c r="D184" s="8">
        <f>IF(OR($B184=0,$B184=""),"",VLOOKUP($B184,jbpv,3,FALSE))</f>
      </c>
      <c r="E184" s="151"/>
      <c r="F184">
        <v>2</v>
      </c>
      <c r="H184" s="55">
        <f>IF(E184="","",IF(E184&lt;J$180,"","ESQ"))</f>
      </c>
      <c r="J184" s="12"/>
    </row>
    <row r="185" spans="1:10" ht="12.75">
      <c r="A185" s="14" t="s">
        <v>51</v>
      </c>
      <c r="B185" s="143"/>
      <c r="C185" s="14"/>
      <c r="D185" s="14"/>
      <c r="E185" s="143"/>
      <c r="F185" s="14"/>
      <c r="G185" s="51"/>
      <c r="H185" s="51"/>
      <c r="I185" s="14"/>
      <c r="J185" s="14"/>
    </row>
    <row r="187" spans="1:11" ht="12.75">
      <c r="A187" s="1" t="s">
        <v>0</v>
      </c>
      <c r="B187" s="134" t="s">
        <v>1</v>
      </c>
      <c r="C187" s="3" t="s">
        <v>2</v>
      </c>
      <c r="D187" s="4" t="s">
        <v>3</v>
      </c>
      <c r="E187" s="147" t="s">
        <v>4</v>
      </c>
      <c r="F187" s="16" t="s">
        <v>24</v>
      </c>
      <c r="I187" t="s">
        <v>6</v>
      </c>
      <c r="J187" s="17">
        <v>1.83</v>
      </c>
      <c r="K187" s="161" t="s">
        <v>283</v>
      </c>
    </row>
    <row r="188" spans="1:10" ht="12.75">
      <c r="A188" s="6">
        <v>1</v>
      </c>
      <c r="B188" s="138">
        <v>9</v>
      </c>
      <c r="C188" s="8" t="str">
        <f aca="true" t="shared" si="45" ref="C188:C199">IF(OR($B188=0,$B188=""),"",VLOOKUP($B188,jbhj,2,FALSE))</f>
        <v>Lio Owana</v>
      </c>
      <c r="D188" s="8" t="str">
        <f aca="true" t="shared" si="46" ref="D188:D199">IF(OR($B188=0,$B188=""),"",VLOOKUP($B188,jbhj,3,FALSE))</f>
        <v>W&amp;M</v>
      </c>
      <c r="E188" s="151">
        <v>1.72</v>
      </c>
      <c r="F188">
        <v>6</v>
      </c>
      <c r="G188" s="55">
        <f>IF(E188="","",IF(E188&lt;J187,"","CBP"))</f>
      </c>
      <c r="H188" s="55" t="str">
        <f>IF(E188="","",IF(E188&lt;J$188,"","ESQ"))</f>
        <v>ESQ</v>
      </c>
      <c r="I188" t="s">
        <v>26</v>
      </c>
      <c r="J188" s="17">
        <v>1.72</v>
      </c>
    </row>
    <row r="189" spans="1:10" ht="12.75">
      <c r="A189" s="6">
        <v>2</v>
      </c>
      <c r="B189" s="138">
        <v>7</v>
      </c>
      <c r="C189" s="8" t="str">
        <f t="shared" si="45"/>
        <v>Estanis de la Quadro-Salcedo</v>
      </c>
      <c r="D189" s="8" t="str">
        <f t="shared" si="46"/>
        <v>SL</v>
      </c>
      <c r="E189" s="151">
        <v>1.65</v>
      </c>
      <c r="F189">
        <v>5</v>
      </c>
      <c r="H189" s="55">
        <f aca="true" t="shared" si="47" ref="H189:H199">IF(E189="","",IF(E189&lt;J$188,"","ESQ"))</f>
      </c>
      <c r="J189" s="12"/>
    </row>
    <row r="190" spans="1:10" ht="12.75">
      <c r="A190" s="6">
        <v>3</v>
      </c>
      <c r="B190" s="138">
        <v>3</v>
      </c>
      <c r="C190" s="8" t="str">
        <f t="shared" si="45"/>
        <v>J Cox</v>
      </c>
      <c r="D190" s="8" t="str">
        <f t="shared" si="46"/>
        <v>WB</v>
      </c>
      <c r="E190" s="151">
        <v>1.6</v>
      </c>
      <c r="F190">
        <v>4</v>
      </c>
      <c r="H190" s="55">
        <f t="shared" si="47"/>
      </c>
      <c r="J190" s="12"/>
    </row>
    <row r="191" spans="1:10" ht="12.75">
      <c r="A191" s="6">
        <v>4</v>
      </c>
      <c r="B191" s="138">
        <v>12</v>
      </c>
      <c r="C191" s="8" t="str">
        <f t="shared" si="45"/>
        <v>T Hamouday</v>
      </c>
      <c r="D191" s="8" t="str">
        <f t="shared" si="46"/>
        <v>WOK</v>
      </c>
      <c r="E191" s="151">
        <v>1.55</v>
      </c>
      <c r="F191">
        <v>3</v>
      </c>
      <c r="H191" s="55">
        <f t="shared" si="47"/>
      </c>
      <c r="J191" s="12"/>
    </row>
    <row r="192" spans="1:10" ht="12.75">
      <c r="A192" s="6">
        <v>5</v>
      </c>
      <c r="B192" s="138">
        <v>5</v>
      </c>
      <c r="C192" s="8" t="str">
        <f t="shared" si="45"/>
        <v>O Hazell</v>
      </c>
      <c r="D192" s="8" t="str">
        <f t="shared" si="46"/>
        <v>RDG</v>
      </c>
      <c r="E192" s="151">
        <v>1.5</v>
      </c>
      <c r="F192">
        <v>2</v>
      </c>
      <c r="H192" s="55">
        <f t="shared" si="47"/>
      </c>
      <c r="J192" s="12"/>
    </row>
    <row r="193" spans="1:10" ht="12.75">
      <c r="A193" s="6">
        <v>6</v>
      </c>
      <c r="B193" s="138">
        <v>11</v>
      </c>
      <c r="C193" s="8" t="str">
        <f t="shared" si="45"/>
        <v>B Munro</v>
      </c>
      <c r="D193" s="8" t="str">
        <f t="shared" si="46"/>
        <v>WOK</v>
      </c>
      <c r="E193" s="151">
        <v>1.5</v>
      </c>
      <c r="F193">
        <v>1</v>
      </c>
      <c r="H193" s="55">
        <f t="shared" si="47"/>
      </c>
      <c r="J193" s="12"/>
    </row>
    <row r="194" spans="1:8" ht="12.75">
      <c r="A194" s="6">
        <v>7</v>
      </c>
      <c r="B194" s="138">
        <v>8</v>
      </c>
      <c r="C194" s="8" t="str">
        <f t="shared" si="45"/>
        <v>Matthew Obichere</v>
      </c>
      <c r="D194" s="8" t="str">
        <f t="shared" si="46"/>
        <v>SL</v>
      </c>
      <c r="E194" s="151">
        <v>1.5</v>
      </c>
      <c r="H194" s="55">
        <f t="shared" si="47"/>
      </c>
    </row>
    <row r="195" spans="1:8" ht="12.75">
      <c r="A195" s="6">
        <v>8</v>
      </c>
      <c r="B195" s="138">
        <v>2</v>
      </c>
      <c r="C195" s="8" t="str">
        <f t="shared" si="45"/>
        <v>W Clarke</v>
      </c>
      <c r="D195" s="8" t="str">
        <f t="shared" si="46"/>
        <v>BRK</v>
      </c>
      <c r="E195" s="151">
        <v>1.45</v>
      </c>
      <c r="H195" s="55">
        <f t="shared" si="47"/>
      </c>
    </row>
    <row r="196" spans="1:8" ht="12.75">
      <c r="A196" s="6">
        <v>9</v>
      </c>
      <c r="B196" s="144">
        <v>10</v>
      </c>
      <c r="C196" s="8" t="str">
        <f t="shared" si="45"/>
        <v>Samual Davy</v>
      </c>
      <c r="D196" s="8" t="str">
        <f t="shared" si="46"/>
        <v>W&amp;M</v>
      </c>
      <c r="E196" s="313">
        <v>0</v>
      </c>
      <c r="H196" s="55">
        <f t="shared" si="47"/>
      </c>
    </row>
    <row r="197" spans="1:8" ht="12.75">
      <c r="A197" s="6">
        <v>10</v>
      </c>
      <c r="C197" s="8">
        <f t="shared" si="45"/>
      </c>
      <c r="D197" s="8">
        <f t="shared" si="46"/>
      </c>
      <c r="E197" s="153"/>
      <c r="H197" s="55">
        <f t="shared" si="47"/>
      </c>
    </row>
    <row r="198" spans="1:8" ht="12.75">
      <c r="A198" s="6">
        <v>11</v>
      </c>
      <c r="C198" s="8">
        <f t="shared" si="45"/>
      </c>
      <c r="D198" s="8">
        <f t="shared" si="46"/>
      </c>
      <c r="E198" s="153"/>
      <c r="H198" s="55">
        <f t="shared" si="47"/>
      </c>
    </row>
    <row r="199" spans="1:8" ht="12.75">
      <c r="A199" s="6">
        <v>12</v>
      </c>
      <c r="C199" s="8">
        <f t="shared" si="45"/>
      </c>
      <c r="D199" s="8">
        <f t="shared" si="46"/>
      </c>
      <c r="E199" s="153"/>
      <c r="H199" s="55">
        <f t="shared" si="47"/>
      </c>
    </row>
    <row r="201" spans="1:10" ht="12.75">
      <c r="A201" s="14" t="s">
        <v>54</v>
      </c>
      <c r="B201" s="143"/>
      <c r="C201" s="14"/>
      <c r="D201" s="14"/>
      <c r="E201" s="143"/>
      <c r="F201" s="14"/>
      <c r="G201" s="51"/>
      <c r="H201" s="51"/>
      <c r="I201" s="14"/>
      <c r="J201" s="14"/>
    </row>
    <row r="203" spans="1:11" ht="12.75">
      <c r="A203" s="1" t="s">
        <v>0</v>
      </c>
      <c r="B203" s="134" t="s">
        <v>1</v>
      </c>
      <c r="C203" s="3" t="s">
        <v>2</v>
      </c>
      <c r="D203" s="4" t="s">
        <v>3</v>
      </c>
      <c r="E203" s="147" t="s">
        <v>4</v>
      </c>
      <c r="F203" s="16" t="s">
        <v>24</v>
      </c>
      <c r="I203" t="s">
        <v>6</v>
      </c>
      <c r="J203" s="17">
        <v>47.45</v>
      </c>
      <c r="K203" s="161" t="s">
        <v>288</v>
      </c>
    </row>
    <row r="204" spans="1:10" ht="12.75">
      <c r="A204" s="6">
        <v>1</v>
      </c>
      <c r="B204" s="138">
        <v>3</v>
      </c>
      <c r="C204" s="8" t="str">
        <f aca="true" t="shared" si="48" ref="C204:C215">IF(OR($B204=0,$B204=""),"",VLOOKUP($B204,jbdt,2,FALSE))</f>
        <v>Harry Booker</v>
      </c>
      <c r="D204" s="8" t="str">
        <f aca="true" t="shared" si="49" ref="D204:D215">IF(OR($B204=0,$B204=""),"",VLOOKUP($B204,jbdt,3,FALSE))</f>
        <v>WB</v>
      </c>
      <c r="E204" s="151">
        <v>37.9</v>
      </c>
      <c r="F204">
        <v>6</v>
      </c>
      <c r="G204" s="55">
        <f>IF(E204="","",IF(E204&lt;J203,"","CBP"))</f>
      </c>
      <c r="H204" s="55" t="str">
        <f>IF(E204="","",IF(E204&lt;J$204,"","ESQ"))</f>
        <v>ESQ</v>
      </c>
      <c r="I204" t="s">
        <v>26</v>
      </c>
      <c r="J204" s="17">
        <v>34</v>
      </c>
    </row>
    <row r="205" spans="1:10" ht="12.75">
      <c r="A205" s="6">
        <v>2</v>
      </c>
      <c r="B205" s="138">
        <v>7</v>
      </c>
      <c r="C205" s="8" t="str">
        <f t="shared" si="48"/>
        <v>Max Wheatley</v>
      </c>
      <c r="D205" s="8" t="str">
        <f t="shared" si="49"/>
        <v>SL</v>
      </c>
      <c r="E205" s="151">
        <v>30.31</v>
      </c>
      <c r="F205">
        <v>5</v>
      </c>
      <c r="H205" s="55">
        <f aca="true" t="shared" si="50" ref="H205:H212">IF(E205="","",IF(E205&lt;J$204,"","ESQ"))</f>
      </c>
      <c r="J205" s="12"/>
    </row>
    <row r="206" spans="1:10" ht="12.75">
      <c r="A206" s="6">
        <v>3</v>
      </c>
      <c r="B206" s="138">
        <v>2</v>
      </c>
      <c r="C206" s="8" t="str">
        <f t="shared" si="48"/>
        <v>G Nazier</v>
      </c>
      <c r="D206" s="8" t="str">
        <f t="shared" si="49"/>
        <v>BRK</v>
      </c>
      <c r="E206" s="151">
        <v>23.14</v>
      </c>
      <c r="F206">
        <v>4</v>
      </c>
      <c r="H206" s="55">
        <f t="shared" si="50"/>
      </c>
      <c r="J206" s="12"/>
    </row>
    <row r="207" spans="1:10" ht="12.75">
      <c r="A207" s="6">
        <v>4</v>
      </c>
      <c r="B207" s="138">
        <v>1</v>
      </c>
      <c r="C207" s="8" t="str">
        <f t="shared" si="48"/>
        <v>D Khtava</v>
      </c>
      <c r="D207" s="8" t="str">
        <f t="shared" si="49"/>
        <v>BRK</v>
      </c>
      <c r="E207" s="151">
        <v>22.77</v>
      </c>
      <c r="F207">
        <v>3</v>
      </c>
      <c r="H207" s="55">
        <f t="shared" si="50"/>
      </c>
      <c r="J207" s="12"/>
    </row>
    <row r="208" spans="1:10" ht="12.75">
      <c r="A208" s="6">
        <v>5</v>
      </c>
      <c r="B208" s="138">
        <v>8</v>
      </c>
      <c r="C208" s="8" t="str">
        <f t="shared" si="48"/>
        <v>Davion Daley</v>
      </c>
      <c r="D208" s="8" t="str">
        <f t="shared" si="49"/>
        <v>SL</v>
      </c>
      <c r="E208" s="151">
        <v>21.72</v>
      </c>
      <c r="F208">
        <v>2</v>
      </c>
      <c r="H208" s="55">
        <f t="shared" si="50"/>
      </c>
      <c r="J208" s="12"/>
    </row>
    <row r="209" spans="1:10" ht="12.75">
      <c r="A209" s="6">
        <v>6</v>
      </c>
      <c r="B209" s="138">
        <v>11</v>
      </c>
      <c r="C209" s="8" t="str">
        <f t="shared" si="48"/>
        <v>S Hart</v>
      </c>
      <c r="D209" s="8" t="str">
        <f t="shared" si="49"/>
        <v>WOK</v>
      </c>
      <c r="E209" s="151">
        <v>18.7</v>
      </c>
      <c r="F209">
        <v>1</v>
      </c>
      <c r="H209" s="55">
        <f t="shared" si="50"/>
      </c>
      <c r="J209" s="12"/>
    </row>
    <row r="210" spans="1:8" ht="12.75">
      <c r="A210" s="6">
        <v>7</v>
      </c>
      <c r="B210" s="138"/>
      <c r="C210" s="8">
        <f t="shared" si="48"/>
      </c>
      <c r="D210" s="8">
        <f t="shared" si="49"/>
      </c>
      <c r="E210" s="151"/>
      <c r="H210" s="55">
        <f t="shared" si="50"/>
      </c>
    </row>
    <row r="211" spans="1:8" ht="12.75">
      <c r="A211" s="6">
        <v>8</v>
      </c>
      <c r="B211" s="138"/>
      <c r="C211" s="8">
        <f t="shared" si="48"/>
      </c>
      <c r="D211" s="8">
        <f t="shared" si="49"/>
      </c>
      <c r="E211" s="151"/>
      <c r="H211" s="55">
        <f t="shared" si="50"/>
      </c>
    </row>
    <row r="212" spans="1:8" ht="12.75">
      <c r="A212" s="6">
        <v>9</v>
      </c>
      <c r="B212" s="138"/>
      <c r="C212" s="8">
        <f t="shared" si="48"/>
      </c>
      <c r="D212" s="8">
        <f t="shared" si="49"/>
      </c>
      <c r="E212" s="151"/>
      <c r="H212" s="55">
        <f t="shared" si="50"/>
      </c>
    </row>
    <row r="213" spans="1:5" ht="12.75">
      <c r="A213" s="6">
        <v>10</v>
      </c>
      <c r="C213" s="8">
        <f t="shared" si="48"/>
      </c>
      <c r="D213" s="8">
        <f t="shared" si="49"/>
      </c>
      <c r="E213" s="153"/>
    </row>
    <row r="214" spans="1:5" ht="12.75">
      <c r="A214" s="6">
        <v>11</v>
      </c>
      <c r="C214" s="8">
        <f t="shared" si="48"/>
      </c>
      <c r="D214" s="8">
        <f t="shared" si="49"/>
      </c>
      <c r="E214" s="153"/>
    </row>
    <row r="215" spans="1:5" ht="12.75">
      <c r="A215" s="6">
        <v>12</v>
      </c>
      <c r="C215" s="8">
        <f t="shared" si="48"/>
      </c>
      <c r="D215" s="8">
        <f t="shared" si="49"/>
      </c>
      <c r="E215" s="153"/>
    </row>
    <row r="217" spans="1:10" ht="12.75">
      <c r="A217" s="14" t="s">
        <v>55</v>
      </c>
      <c r="B217" s="143"/>
      <c r="C217" s="14"/>
      <c r="D217" s="14"/>
      <c r="E217" s="143"/>
      <c r="F217" s="14"/>
      <c r="G217" s="51"/>
      <c r="H217" s="51"/>
      <c r="I217" s="14"/>
      <c r="J217" s="14"/>
    </row>
    <row r="219" spans="1:11" ht="12.75">
      <c r="A219" s="1" t="s">
        <v>0</v>
      </c>
      <c r="B219" s="134" t="s">
        <v>1</v>
      </c>
      <c r="C219" s="3" t="s">
        <v>2</v>
      </c>
      <c r="D219" s="4" t="s">
        <v>3</v>
      </c>
      <c r="E219" s="147" t="s">
        <v>4</v>
      </c>
      <c r="F219" s="16" t="s">
        <v>24</v>
      </c>
      <c r="I219" t="s">
        <v>6</v>
      </c>
      <c r="J219" s="17">
        <v>6.4</v>
      </c>
      <c r="K219" s="161" t="s">
        <v>289</v>
      </c>
    </row>
    <row r="220" spans="1:10" ht="12.75">
      <c r="A220" s="6">
        <v>1</v>
      </c>
      <c r="B220" s="138">
        <v>8</v>
      </c>
      <c r="C220" s="8" t="str">
        <f aca="true" t="shared" si="51" ref="C220:C231">IF(OR($B220=0,$B220=""),"",VLOOKUP($B220,jblj,2,FALSE))</f>
        <v>Tyquan Lee</v>
      </c>
      <c r="D220" s="8" t="str">
        <f aca="true" t="shared" si="52" ref="D220:D231">IF(OR($B220=0,$B220=""),"",VLOOKUP($B220,jblj,3,FALSE))</f>
        <v>SL</v>
      </c>
      <c r="E220" s="151">
        <v>5.24</v>
      </c>
      <c r="F220">
        <v>6</v>
      </c>
      <c r="G220" s="55">
        <f>IF(E220="","",IF(E220&lt;J219,"","CBP"))</f>
      </c>
      <c r="H220" s="55">
        <f>IF(E220="","",IF(E220&lt;J$220,"","ESQ"))</f>
      </c>
      <c r="I220" t="s">
        <v>26</v>
      </c>
      <c r="J220" s="17">
        <v>5.7</v>
      </c>
    </row>
    <row r="221" spans="1:10" ht="12.75">
      <c r="A221" s="6">
        <v>2</v>
      </c>
      <c r="B221" s="138">
        <v>4</v>
      </c>
      <c r="C221" s="8" t="str">
        <f t="shared" si="51"/>
        <v>Oliver Bazin</v>
      </c>
      <c r="D221" s="8" t="str">
        <f t="shared" si="52"/>
        <v>WB</v>
      </c>
      <c r="E221" s="151">
        <v>5.23</v>
      </c>
      <c r="F221">
        <v>5</v>
      </c>
      <c r="H221" s="55">
        <f aca="true" t="shared" si="53" ref="H221:H231">IF(E221="","",IF(E221&lt;J$220,"","ESQ"))</f>
      </c>
      <c r="J221" s="12"/>
    </row>
    <row r="222" spans="1:10" ht="12.75">
      <c r="A222" s="6">
        <v>3</v>
      </c>
      <c r="B222" s="138">
        <v>11</v>
      </c>
      <c r="C222" s="8" t="str">
        <f t="shared" si="51"/>
        <v>H Daisley</v>
      </c>
      <c r="D222" s="8" t="str">
        <f t="shared" si="52"/>
        <v>WOK</v>
      </c>
      <c r="E222" s="151">
        <v>5.23</v>
      </c>
      <c r="F222">
        <v>4</v>
      </c>
      <c r="H222" s="55">
        <f t="shared" si="53"/>
      </c>
      <c r="J222" s="12"/>
    </row>
    <row r="223" spans="1:10" ht="12.75">
      <c r="A223" s="6">
        <v>4</v>
      </c>
      <c r="B223" s="138">
        <v>9</v>
      </c>
      <c r="C223" s="8" t="str">
        <f t="shared" si="51"/>
        <v>Harvey Sommerville</v>
      </c>
      <c r="D223" s="8" t="str">
        <f t="shared" si="52"/>
        <v>W&amp;M</v>
      </c>
      <c r="E223" s="151">
        <v>5.08</v>
      </c>
      <c r="F223">
        <v>3</v>
      </c>
      <c r="H223" s="55">
        <f t="shared" si="53"/>
      </c>
      <c r="J223" s="12"/>
    </row>
    <row r="224" spans="1:10" ht="12.75">
      <c r="A224" s="6">
        <v>5</v>
      </c>
      <c r="B224" s="138">
        <v>12</v>
      </c>
      <c r="C224" s="8" t="str">
        <f t="shared" si="51"/>
        <v>J Carless</v>
      </c>
      <c r="D224" s="8" t="str">
        <f t="shared" si="52"/>
        <v>WOK</v>
      </c>
      <c r="E224" s="151">
        <v>5.07</v>
      </c>
      <c r="F224">
        <v>2</v>
      </c>
      <c r="H224" s="55">
        <f t="shared" si="53"/>
      </c>
      <c r="J224" s="12"/>
    </row>
    <row r="225" spans="1:10" ht="12.75">
      <c r="A225" s="6">
        <v>6</v>
      </c>
      <c r="B225" s="138">
        <v>3</v>
      </c>
      <c r="C225" s="8" t="str">
        <f t="shared" si="51"/>
        <v>B Dennis</v>
      </c>
      <c r="D225" s="8" t="str">
        <f t="shared" si="52"/>
        <v>WB</v>
      </c>
      <c r="E225" s="151">
        <v>5</v>
      </c>
      <c r="F225">
        <v>1</v>
      </c>
      <c r="H225" s="55">
        <f t="shared" si="53"/>
      </c>
      <c r="J225" s="12"/>
    </row>
    <row r="226" spans="1:8" ht="12.75">
      <c r="A226" s="6">
        <v>7</v>
      </c>
      <c r="B226" s="138">
        <v>10</v>
      </c>
      <c r="C226" s="8" t="str">
        <f t="shared" si="51"/>
        <v>Jaco Overturf</v>
      </c>
      <c r="D226" s="8" t="str">
        <f t="shared" si="52"/>
        <v>W&amp;M</v>
      </c>
      <c r="E226" s="151">
        <v>4.63</v>
      </c>
      <c r="H226" s="55">
        <f t="shared" si="53"/>
      </c>
    </row>
    <row r="227" spans="1:8" ht="12.75">
      <c r="A227" s="6">
        <v>8</v>
      </c>
      <c r="B227" s="138">
        <v>5</v>
      </c>
      <c r="C227" s="8" t="str">
        <f t="shared" si="51"/>
        <v>Oliver Langton</v>
      </c>
      <c r="D227" s="8" t="str">
        <f t="shared" si="52"/>
        <v>RDG</v>
      </c>
      <c r="E227" s="151">
        <v>4.46</v>
      </c>
      <c r="H227" s="55">
        <f t="shared" si="53"/>
      </c>
    </row>
    <row r="228" spans="1:8" ht="12.75">
      <c r="A228" s="6">
        <v>9</v>
      </c>
      <c r="B228" s="138">
        <v>1</v>
      </c>
      <c r="C228" s="8" t="str">
        <f t="shared" si="51"/>
        <v>T Begley</v>
      </c>
      <c r="D228" s="8" t="str">
        <f t="shared" si="52"/>
        <v>BRK</v>
      </c>
      <c r="E228" s="151">
        <v>4.29</v>
      </c>
      <c r="H228" s="55">
        <f t="shared" si="53"/>
      </c>
    </row>
    <row r="229" spans="1:8" ht="12.75">
      <c r="A229" s="6">
        <v>10</v>
      </c>
      <c r="B229" s="138"/>
      <c r="C229" s="8">
        <f t="shared" si="51"/>
      </c>
      <c r="D229" s="8">
        <f t="shared" si="52"/>
      </c>
      <c r="E229" s="151"/>
      <c r="H229" s="55">
        <f t="shared" si="53"/>
      </c>
    </row>
    <row r="230" spans="1:8" ht="12.75">
      <c r="A230" s="6">
        <v>11</v>
      </c>
      <c r="B230" s="138"/>
      <c r="C230" s="8">
        <f t="shared" si="51"/>
      </c>
      <c r="D230" s="8">
        <f t="shared" si="52"/>
      </c>
      <c r="E230" s="151"/>
      <c r="H230" s="55">
        <f t="shared" si="53"/>
      </c>
    </row>
    <row r="231" spans="1:8" ht="12.75">
      <c r="A231" s="6">
        <v>12</v>
      </c>
      <c r="C231" s="8">
        <f t="shared" si="51"/>
      </c>
      <c r="D231" s="8">
        <f t="shared" si="52"/>
      </c>
      <c r="E231" s="153"/>
      <c r="H231" s="55">
        <f t="shared" si="53"/>
      </c>
    </row>
    <row r="233" spans="1:10" ht="12.75">
      <c r="A233" s="14" t="s">
        <v>59</v>
      </c>
      <c r="B233" s="143"/>
      <c r="C233" s="14"/>
      <c r="D233" s="14"/>
      <c r="E233" s="143"/>
      <c r="F233" s="14"/>
      <c r="G233" s="51"/>
      <c r="H233" s="51"/>
      <c r="I233" s="14"/>
      <c r="J233" s="14"/>
    </row>
    <row r="235" spans="1:10" ht="12.75">
      <c r="A235" s="1" t="s">
        <v>0</v>
      </c>
      <c r="B235" s="134" t="s">
        <v>1</v>
      </c>
      <c r="C235" s="3" t="s">
        <v>2</v>
      </c>
      <c r="D235" s="4" t="s">
        <v>3</v>
      </c>
      <c r="E235" s="147" t="s">
        <v>4</v>
      </c>
      <c r="F235" s="16" t="s">
        <v>24</v>
      </c>
      <c r="I235" t="s">
        <v>6</v>
      </c>
      <c r="J235" s="17">
        <v>48.72</v>
      </c>
    </row>
    <row r="236" spans="1:10" ht="12.75">
      <c r="A236" s="6">
        <v>1</v>
      </c>
      <c r="B236" s="138">
        <v>3</v>
      </c>
      <c r="C236" s="8" t="str">
        <f aca="true" t="shared" si="54" ref="C236:C247">IF(OR($B236=0,$B236=""),"",VLOOKUP($B236,jbjt,2,FALSE))</f>
        <v>Ben East</v>
      </c>
      <c r="D236" s="8" t="str">
        <f aca="true" t="shared" si="55" ref="D236:D247">IF(OR($B236=0,$B236=""),"",VLOOKUP($B236,jbjt,3,FALSE))</f>
        <v>WB</v>
      </c>
      <c r="E236" s="151">
        <v>48.47</v>
      </c>
      <c r="F236">
        <v>6</v>
      </c>
      <c r="G236" s="55">
        <f>IF(E236="","",IF(E236&lt;J235,"","CBP"))</f>
      </c>
      <c r="H236" s="55" t="str">
        <f>IF(E236="","",IF(E236&lt;J$236,"","ESQ"))</f>
        <v>ESQ</v>
      </c>
      <c r="I236" t="s">
        <v>26</v>
      </c>
      <c r="J236" s="17">
        <v>43</v>
      </c>
    </row>
    <row r="237" spans="1:10" ht="12.75">
      <c r="A237" s="6">
        <v>2</v>
      </c>
      <c r="B237" s="138">
        <v>11</v>
      </c>
      <c r="C237" s="8" t="str">
        <f t="shared" si="54"/>
        <v>J McCafferty</v>
      </c>
      <c r="D237" s="8" t="str">
        <f t="shared" si="55"/>
        <v>WOK</v>
      </c>
      <c r="E237" s="151">
        <v>45.2</v>
      </c>
      <c r="F237">
        <v>5</v>
      </c>
      <c r="H237" s="55" t="str">
        <f aca="true" t="shared" si="56" ref="H237:H247">IF(E237="","",IF(E237&lt;J$236,"","ESQ"))</f>
        <v>ESQ</v>
      </c>
      <c r="J237" s="12"/>
    </row>
    <row r="238" spans="1:10" ht="12.75">
      <c r="A238" s="6">
        <v>3</v>
      </c>
      <c r="B238" s="138">
        <v>12</v>
      </c>
      <c r="C238" s="8" t="str">
        <f t="shared" si="54"/>
        <v>L Holzman</v>
      </c>
      <c r="D238" s="8" t="str">
        <f t="shared" si="55"/>
        <v>WOK</v>
      </c>
      <c r="E238" s="151">
        <v>43.47</v>
      </c>
      <c r="F238">
        <v>4</v>
      </c>
      <c r="H238" s="55" t="str">
        <f t="shared" si="56"/>
        <v>ESQ</v>
      </c>
      <c r="J238" s="12"/>
    </row>
    <row r="239" spans="1:10" ht="12.75">
      <c r="A239" s="6">
        <v>4</v>
      </c>
      <c r="B239" s="138">
        <v>4</v>
      </c>
      <c r="C239" s="8" t="str">
        <f t="shared" si="54"/>
        <v>J Cannons</v>
      </c>
      <c r="D239" s="8" t="str">
        <f t="shared" si="55"/>
        <v>WB</v>
      </c>
      <c r="E239" s="151">
        <v>35.28</v>
      </c>
      <c r="F239">
        <v>3</v>
      </c>
      <c r="H239" s="55">
        <f t="shared" si="56"/>
      </c>
      <c r="J239" s="12"/>
    </row>
    <row r="240" spans="1:10" ht="12.75">
      <c r="A240" s="6">
        <v>5</v>
      </c>
      <c r="B240" s="138">
        <v>1</v>
      </c>
      <c r="C240" s="8" t="str">
        <f t="shared" si="54"/>
        <v>B Nason</v>
      </c>
      <c r="D240" s="8" t="str">
        <f t="shared" si="55"/>
        <v>BRK</v>
      </c>
      <c r="E240" s="151">
        <v>34.24</v>
      </c>
      <c r="F240">
        <v>2</v>
      </c>
      <c r="H240" s="55">
        <f t="shared" si="56"/>
      </c>
      <c r="J240" s="12"/>
    </row>
    <row r="241" spans="1:10" ht="12.75">
      <c r="A241" s="6">
        <v>6</v>
      </c>
      <c r="B241" s="138">
        <v>10</v>
      </c>
      <c r="C241" s="8" t="str">
        <f t="shared" si="54"/>
        <v>Joshua Patterson</v>
      </c>
      <c r="D241" s="8" t="str">
        <f t="shared" si="55"/>
        <v>W&amp;M</v>
      </c>
      <c r="E241" s="151">
        <v>32.28</v>
      </c>
      <c r="F241">
        <v>1</v>
      </c>
      <c r="H241" s="55">
        <f t="shared" si="56"/>
      </c>
      <c r="J241" s="12"/>
    </row>
    <row r="242" spans="1:8" ht="12.75">
      <c r="A242" s="6">
        <v>7</v>
      </c>
      <c r="B242" s="138">
        <v>5</v>
      </c>
      <c r="C242" s="8" t="str">
        <f t="shared" si="54"/>
        <v>Sol Arbuthnot-Whittaker</v>
      </c>
      <c r="D242" s="8" t="str">
        <f t="shared" si="55"/>
        <v>RDG</v>
      </c>
      <c r="E242" s="151">
        <v>25.36</v>
      </c>
      <c r="H242" s="55">
        <f t="shared" si="56"/>
      </c>
    </row>
    <row r="243" spans="1:8" ht="12.75">
      <c r="A243" s="6">
        <v>8</v>
      </c>
      <c r="B243" s="138"/>
      <c r="C243" s="8">
        <f t="shared" si="54"/>
      </c>
      <c r="D243" s="8">
        <f t="shared" si="55"/>
      </c>
      <c r="E243" s="151"/>
      <c r="H243" s="55">
        <f t="shared" si="56"/>
      </c>
    </row>
    <row r="244" spans="1:8" ht="12.75">
      <c r="A244" s="6">
        <v>9</v>
      </c>
      <c r="B244" s="146"/>
      <c r="C244" s="8">
        <f t="shared" si="54"/>
      </c>
      <c r="D244" s="8">
        <f t="shared" si="55"/>
      </c>
      <c r="E244" s="153"/>
      <c r="H244" s="55">
        <f t="shared" si="56"/>
      </c>
    </row>
    <row r="245" spans="1:8" ht="12.75">
      <c r="A245" s="6">
        <v>10</v>
      </c>
      <c r="B245" s="146"/>
      <c r="C245" s="8">
        <f t="shared" si="54"/>
      </c>
      <c r="D245" s="8">
        <f t="shared" si="55"/>
      </c>
      <c r="E245" s="153"/>
      <c r="H245" s="55">
        <f t="shared" si="56"/>
      </c>
    </row>
    <row r="246" spans="1:8" ht="12.75">
      <c r="A246" s="6">
        <v>11</v>
      </c>
      <c r="C246" s="8">
        <f t="shared" si="54"/>
      </c>
      <c r="D246" s="8">
        <f t="shared" si="55"/>
      </c>
      <c r="E246" s="153"/>
      <c r="H246" s="55">
        <f t="shared" si="56"/>
      </c>
    </row>
    <row r="247" spans="1:8" ht="12.75">
      <c r="A247" s="6">
        <v>12</v>
      </c>
      <c r="C247" s="8">
        <f t="shared" si="54"/>
      </c>
      <c r="D247" s="8">
        <f t="shared" si="55"/>
      </c>
      <c r="E247" s="153"/>
      <c r="H247" s="55">
        <f t="shared" si="56"/>
      </c>
    </row>
    <row r="249" spans="1:10" ht="12.75">
      <c r="A249" s="14" t="s">
        <v>61</v>
      </c>
      <c r="B249" s="143"/>
      <c r="C249" s="14"/>
      <c r="D249" s="14"/>
      <c r="E249" s="143"/>
      <c r="F249" s="14"/>
      <c r="G249" s="51"/>
      <c r="H249" s="51"/>
      <c r="I249" s="14"/>
      <c r="J249" s="14"/>
    </row>
    <row r="251" spans="1:11" ht="12.75">
      <c r="A251" s="1" t="s">
        <v>0</v>
      </c>
      <c r="B251" s="134" t="s">
        <v>1</v>
      </c>
      <c r="C251" s="3" t="s">
        <v>2</v>
      </c>
      <c r="D251" s="4" t="s">
        <v>3</v>
      </c>
      <c r="E251" s="147" t="s">
        <v>4</v>
      </c>
      <c r="F251" s="16" t="s">
        <v>24</v>
      </c>
      <c r="I251" t="s">
        <v>6</v>
      </c>
      <c r="J251" s="17">
        <v>13.6</v>
      </c>
      <c r="K251" s="161" t="s">
        <v>296</v>
      </c>
    </row>
    <row r="252" spans="1:10" ht="12.75">
      <c r="A252" s="6">
        <v>1</v>
      </c>
      <c r="B252" s="138">
        <v>10</v>
      </c>
      <c r="C252" s="8" t="str">
        <f aca="true" t="shared" si="57" ref="C252:C262">IF(OR($B252=0,$B252=""),"",VLOOKUP($B252,jbtj,2,FALSE))</f>
        <v>Chris Kennedy</v>
      </c>
      <c r="D252" s="8" t="str">
        <f aca="true" t="shared" si="58" ref="D252:D262">IF(OR($B252=0,$B252=""),"",VLOOKUP($B252,jbtj,3,FALSE))</f>
        <v>W&amp;M</v>
      </c>
      <c r="E252" s="151">
        <v>11.42</v>
      </c>
      <c r="F252">
        <v>6</v>
      </c>
      <c r="G252" s="55">
        <f>IF(E252="","",IF(E252&lt;J251,"","CBP"))</f>
      </c>
      <c r="H252" s="55">
        <f>IF(E252="","",IF(E252&lt;J$252,"","ESQ"))</f>
      </c>
      <c r="I252" t="s">
        <v>26</v>
      </c>
      <c r="J252" s="17">
        <v>12</v>
      </c>
    </row>
    <row r="253" spans="1:10" ht="12.75">
      <c r="A253" s="6">
        <v>2</v>
      </c>
      <c r="B253" s="138">
        <v>9</v>
      </c>
      <c r="C253" s="8" t="str">
        <f t="shared" si="57"/>
        <v>Rhys Hughes</v>
      </c>
      <c r="D253" s="8" t="str">
        <f t="shared" si="58"/>
        <v>W&amp;M</v>
      </c>
      <c r="E253" s="151">
        <v>11.31</v>
      </c>
      <c r="F253">
        <v>5</v>
      </c>
      <c r="H253" s="55">
        <f aca="true" t="shared" si="59" ref="H253:H268">IF(E253="","",IF(E253&lt;J$252,"","ESQ"))</f>
      </c>
      <c r="J253" s="12"/>
    </row>
    <row r="254" spans="1:10" ht="12.75">
      <c r="A254" s="6">
        <v>3</v>
      </c>
      <c r="B254" s="138">
        <v>7</v>
      </c>
      <c r="C254" s="8" t="str">
        <f t="shared" si="57"/>
        <v>Malek Issimaila</v>
      </c>
      <c r="D254" s="8" t="str">
        <f t="shared" si="58"/>
        <v>SL</v>
      </c>
      <c r="E254" s="151">
        <v>10.52</v>
      </c>
      <c r="F254">
        <v>4</v>
      </c>
      <c r="H254" s="55">
        <f t="shared" si="59"/>
      </c>
      <c r="J254" s="12"/>
    </row>
    <row r="255" spans="1:10" ht="12.75">
      <c r="A255" s="6">
        <v>4</v>
      </c>
      <c r="B255" s="138">
        <v>12</v>
      </c>
      <c r="C255" s="8" t="str">
        <f t="shared" si="57"/>
        <v>R Gooding</v>
      </c>
      <c r="D255" s="8" t="str">
        <f t="shared" si="58"/>
        <v>WOK</v>
      </c>
      <c r="E255" s="151">
        <v>10.21</v>
      </c>
      <c r="F255">
        <v>3</v>
      </c>
      <c r="H255" s="55">
        <f t="shared" si="59"/>
      </c>
      <c r="J255" s="12"/>
    </row>
    <row r="256" spans="1:10" ht="12.75">
      <c r="A256" s="6">
        <v>5</v>
      </c>
      <c r="B256" s="138"/>
      <c r="C256" s="8">
        <f t="shared" si="57"/>
      </c>
      <c r="D256" s="8">
        <f t="shared" si="58"/>
      </c>
      <c r="E256" s="151"/>
      <c r="F256">
        <v>2</v>
      </c>
      <c r="H256" s="55">
        <f t="shared" si="59"/>
      </c>
      <c r="J256" s="12"/>
    </row>
    <row r="257" spans="1:10" ht="12.75">
      <c r="A257" s="6">
        <v>6</v>
      </c>
      <c r="B257" s="145"/>
      <c r="C257" s="8">
        <f t="shared" si="57"/>
      </c>
      <c r="D257" s="8">
        <f t="shared" si="58"/>
      </c>
      <c r="E257" s="151"/>
      <c r="F257">
        <v>1</v>
      </c>
      <c r="H257" s="55">
        <f t="shared" si="59"/>
      </c>
      <c r="J257" s="12"/>
    </row>
    <row r="258" spans="1:8" ht="12.75">
      <c r="A258" s="6">
        <v>7</v>
      </c>
      <c r="B258" s="146"/>
      <c r="C258" s="8">
        <f t="shared" si="57"/>
      </c>
      <c r="D258" s="8">
        <f t="shared" si="58"/>
      </c>
      <c r="E258" s="153"/>
      <c r="H258" s="55">
        <f t="shared" si="59"/>
      </c>
    </row>
    <row r="259" spans="1:8" ht="12.75">
      <c r="A259" s="6">
        <v>8</v>
      </c>
      <c r="C259" s="8">
        <f t="shared" si="57"/>
      </c>
      <c r="D259" s="8">
        <f t="shared" si="58"/>
      </c>
      <c r="E259" s="153"/>
      <c r="H259" s="55">
        <f t="shared" si="59"/>
      </c>
    </row>
    <row r="260" spans="1:8" ht="12.75">
      <c r="A260" s="6">
        <v>9</v>
      </c>
      <c r="C260" s="8">
        <f t="shared" si="57"/>
      </c>
      <c r="D260" s="8">
        <f t="shared" si="58"/>
      </c>
      <c r="E260" s="153"/>
      <c r="H260" s="55">
        <f t="shared" si="59"/>
      </c>
    </row>
    <row r="261" spans="1:8" ht="12.75">
      <c r="A261" s="6">
        <v>10</v>
      </c>
      <c r="C261" s="8">
        <f t="shared" si="57"/>
      </c>
      <c r="D261" s="8">
        <f t="shared" si="58"/>
      </c>
      <c r="E261" s="153"/>
      <c r="H261" s="55">
        <f t="shared" si="59"/>
      </c>
    </row>
    <row r="262" spans="1:8" ht="12.75">
      <c r="A262" s="6">
        <v>11</v>
      </c>
      <c r="C262" s="8">
        <f t="shared" si="57"/>
      </c>
      <c r="D262" s="8">
        <f t="shared" si="58"/>
      </c>
      <c r="E262" s="153"/>
      <c r="H262" s="55">
        <f t="shared" si="59"/>
      </c>
    </row>
    <row r="263" spans="1:5" ht="12.75">
      <c r="A263" s="6"/>
      <c r="C263" s="8"/>
      <c r="D263" s="8"/>
      <c r="E263" s="153"/>
    </row>
    <row r="264" spans="1:5" ht="12.75">
      <c r="A264" s="6"/>
      <c r="C264" s="8"/>
      <c r="D264" s="8"/>
      <c r="E264" s="153"/>
    </row>
    <row r="265" spans="1:5" ht="12.75">
      <c r="A265" s="306" t="s">
        <v>741</v>
      </c>
      <c r="C265" s="8"/>
      <c r="D265" s="8"/>
      <c r="E265" s="153"/>
    </row>
    <row r="266" spans="1:5" ht="12.75">
      <c r="A266" s="306" t="s">
        <v>32</v>
      </c>
      <c r="C266" s="8"/>
      <c r="D266" s="8"/>
      <c r="E266" s="153"/>
    </row>
    <row r="267" spans="1:6" ht="12.75">
      <c r="A267" s="1" t="s">
        <v>0</v>
      </c>
      <c r="B267" s="134" t="s">
        <v>1</v>
      </c>
      <c r="C267" s="3" t="s">
        <v>2</v>
      </c>
      <c r="D267" s="4" t="s">
        <v>3</v>
      </c>
      <c r="E267" s="147" t="s">
        <v>4</v>
      </c>
      <c r="F267" s="16"/>
    </row>
    <row r="268" spans="1:8" ht="12.75">
      <c r="A268" s="6">
        <v>1</v>
      </c>
      <c r="C268" s="8"/>
      <c r="D268" s="8"/>
      <c r="E268" s="153"/>
      <c r="F268" s="42" t="s">
        <v>123</v>
      </c>
      <c r="H268" s="55">
        <f t="shared" si="59"/>
      </c>
    </row>
    <row r="269" spans="1:6" ht="12.75">
      <c r="A269">
        <v>2</v>
      </c>
      <c r="C269" s="42"/>
      <c r="D269" s="42"/>
      <c r="F269" s="42" t="s">
        <v>123</v>
      </c>
    </row>
    <row r="270" spans="1:6" ht="12.75">
      <c r="A270" s="6">
        <v>3</v>
      </c>
      <c r="C270" s="304"/>
      <c r="D270" s="42"/>
      <c r="F270" s="42" t="s">
        <v>123</v>
      </c>
    </row>
    <row r="271" spans="1:6" ht="12.75">
      <c r="A271" s="6">
        <v>4</v>
      </c>
      <c r="C271" s="304"/>
      <c r="D271" s="42"/>
      <c r="F271" s="42" t="s">
        <v>123</v>
      </c>
    </row>
    <row r="272" spans="1:4" ht="12.75">
      <c r="A272" s="6">
        <v>5</v>
      </c>
      <c r="C272" s="304"/>
      <c r="D272" s="42"/>
    </row>
    <row r="274" ht="12.75">
      <c r="A274" s="14" t="s">
        <v>33</v>
      </c>
    </row>
    <row r="275" spans="1:5" ht="12.75">
      <c r="A275" s="1" t="s">
        <v>0</v>
      </c>
      <c r="B275" s="134" t="s">
        <v>1</v>
      </c>
      <c r="C275" s="3" t="s">
        <v>2</v>
      </c>
      <c r="D275" s="4" t="s">
        <v>3</v>
      </c>
      <c r="E275" s="147" t="s">
        <v>4</v>
      </c>
    </row>
    <row r="276" spans="1:6" ht="12.75">
      <c r="A276">
        <v>1</v>
      </c>
      <c r="B276"/>
      <c r="C276" s="42"/>
      <c r="D276" s="42"/>
      <c r="F276" s="42" t="s">
        <v>123</v>
      </c>
    </row>
    <row r="277" spans="1:6" ht="12.75">
      <c r="A277">
        <v>2</v>
      </c>
      <c r="B277"/>
      <c r="C277" s="42"/>
      <c r="D277" s="42"/>
      <c r="F277" s="42" t="s">
        <v>123</v>
      </c>
    </row>
    <row r="278" spans="1:4" ht="12.75">
      <c r="A278" s="42">
        <v>3</v>
      </c>
      <c r="B278" s="42"/>
      <c r="C278" s="42"/>
      <c r="D278" s="42"/>
    </row>
    <row r="279" spans="1:4" ht="12.75">
      <c r="A279" s="42">
        <v>4</v>
      </c>
      <c r="B279"/>
      <c r="C279" s="42"/>
      <c r="D279" s="42"/>
    </row>
    <row r="280" spans="1:4" ht="12.75">
      <c r="A280" s="42">
        <v>5</v>
      </c>
      <c r="B280"/>
      <c r="C280" s="42"/>
      <c r="D280" s="42"/>
    </row>
    <row r="281" spans="1:4" ht="12.75">
      <c r="A281" s="42">
        <v>6</v>
      </c>
      <c r="B281"/>
      <c r="C281" s="42"/>
      <c r="D281" s="42"/>
    </row>
    <row r="283" ht="12.75">
      <c r="A283" s="14" t="s">
        <v>744</v>
      </c>
    </row>
    <row r="285" spans="1:12" ht="12.75">
      <c r="A285" s="1" t="s">
        <v>0</v>
      </c>
      <c r="B285" s="134" t="s">
        <v>1</v>
      </c>
      <c r="C285" s="3" t="s">
        <v>2</v>
      </c>
      <c r="D285" s="4" t="s">
        <v>3</v>
      </c>
      <c r="E285" s="147" t="s">
        <v>4</v>
      </c>
      <c r="F285" s="16" t="s">
        <v>24</v>
      </c>
      <c r="J285" t="s">
        <v>6</v>
      </c>
      <c r="K285" s="12">
        <v>37.3</v>
      </c>
      <c r="L285" s="161" t="s">
        <v>745</v>
      </c>
    </row>
    <row r="286" spans="1:12" ht="12.75">
      <c r="A286" s="6">
        <v>1</v>
      </c>
      <c r="B286" s="138"/>
      <c r="C286" s="8">
        <f aca="true" t="shared" si="60" ref="C286:C291">IF(OR($B286=0,$B286=""),"",VLOOKUP($B286,jb300m,2,FALSE))</f>
      </c>
      <c r="D286" s="8">
        <f aca="true" t="shared" si="61" ref="D286:D291">IF(OR($B286=0,$B286=""),"",VLOOKUP($B286,jb300m,3,FALSE))</f>
      </c>
      <c r="E286" s="148"/>
      <c r="F286">
        <v>6</v>
      </c>
      <c r="H286" s="55" t="s">
        <v>26</v>
      </c>
      <c r="J286" t="s">
        <v>26</v>
      </c>
      <c r="K286" s="12">
        <v>38</v>
      </c>
      <c r="L286" s="161"/>
    </row>
    <row r="287" spans="1:6" ht="12.75">
      <c r="A287" s="6">
        <v>2</v>
      </c>
      <c r="B287" s="138"/>
      <c r="C287" s="8">
        <f t="shared" si="60"/>
      </c>
      <c r="D287" s="8">
        <f t="shared" si="61"/>
      </c>
      <c r="E287" s="148"/>
      <c r="F287">
        <v>5</v>
      </c>
    </row>
    <row r="288" spans="1:6" ht="12.75">
      <c r="A288" s="6">
        <v>3</v>
      </c>
      <c r="B288" s="138"/>
      <c r="C288" s="8">
        <f t="shared" si="60"/>
      </c>
      <c r="D288" s="8">
        <f t="shared" si="61"/>
      </c>
      <c r="E288" s="148"/>
      <c r="F288">
        <v>4</v>
      </c>
    </row>
    <row r="289" spans="1:6" ht="12.75">
      <c r="A289" s="6">
        <v>4</v>
      </c>
      <c r="B289" s="138"/>
      <c r="C289" s="8">
        <f t="shared" si="60"/>
      </c>
      <c r="D289" s="8">
        <f t="shared" si="61"/>
      </c>
      <c r="E289" s="148"/>
      <c r="F289">
        <v>3</v>
      </c>
    </row>
    <row r="290" spans="1:6" ht="12.75">
      <c r="A290" s="6">
        <v>5</v>
      </c>
      <c r="B290" s="138"/>
      <c r="C290" s="8">
        <f t="shared" si="60"/>
      </c>
      <c r="D290" s="8">
        <f t="shared" si="61"/>
      </c>
      <c r="E290" s="148"/>
      <c r="F290">
        <v>2</v>
      </c>
    </row>
    <row r="291" spans="1:6" ht="12.75">
      <c r="A291" s="6">
        <v>6</v>
      </c>
      <c r="B291" s="145"/>
      <c r="C291" s="8">
        <f t="shared" si="60"/>
      </c>
      <c r="D291" s="8">
        <f t="shared" si="61"/>
      </c>
      <c r="E291" s="148"/>
      <c r="F291">
        <v>1</v>
      </c>
    </row>
  </sheetData>
  <sheetProtection selectLockedCells="1"/>
  <printOptions/>
  <pageMargins left="0" right="0" top="1.4566929133858268" bottom="0" header="0.5118110236220472" footer="0.5118110236220472"/>
  <pageSetup horizontalDpi="300" verticalDpi="300" orientation="landscape" paperSize="9" scale="96" r:id="rId2"/>
  <headerFooter alignWithMargins="0">
    <oddHeader>&amp;L&amp;G&amp;CBerkshire Schools Track &amp; &amp; Field Championships - June 10 2010, Palmer Park
Junior Boys (U15) Full Results</oddHeader>
  </headerFooter>
  <rowBreaks count="6" manualBreakCount="6">
    <brk id="54" max="255" man="1"/>
    <brk id="98" max="255" man="1"/>
    <brk id="137" max="255" man="1"/>
    <brk id="158" max="255" man="1"/>
    <brk id="200" max="255" man="1"/>
    <brk id="232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B20"/>
  <sheetViews>
    <sheetView zoomScalePageLayoutView="0" workbookViewId="0" topLeftCell="A1">
      <selection activeCell="V17" sqref="A1:V17"/>
    </sheetView>
  </sheetViews>
  <sheetFormatPr defaultColWidth="9.140625" defaultRowHeight="12.75"/>
  <cols>
    <col min="1" max="1" width="5.140625" style="27" customWidth="1"/>
    <col min="2" max="2" width="5.28125" style="27" customWidth="1"/>
    <col min="3" max="4" width="5.421875" style="27" customWidth="1"/>
    <col min="5" max="5" width="8.8515625" style="27" customWidth="1"/>
    <col min="6" max="6" width="3.57421875" style="27" customWidth="1"/>
    <col min="7" max="7" width="5.28125" style="27" customWidth="1"/>
    <col min="8" max="8" width="8.8515625" style="27" customWidth="1"/>
    <col min="9" max="9" width="3.140625" style="27" customWidth="1"/>
    <col min="10" max="10" width="5.421875" style="27" customWidth="1"/>
    <col min="11" max="11" width="8.8515625" style="27" customWidth="1"/>
    <col min="12" max="12" width="3.28125" style="27" customWidth="1"/>
    <col min="13" max="13" width="5.28125" style="27" customWidth="1"/>
    <col min="14" max="14" width="8.8515625" style="27" customWidth="1"/>
    <col min="15" max="15" width="3.00390625" style="27" customWidth="1"/>
    <col min="16" max="16" width="5.7109375" style="27" customWidth="1"/>
    <col min="17" max="17" width="8.8515625" style="27" customWidth="1"/>
    <col min="18" max="18" width="4.421875" style="27" customWidth="1"/>
    <col min="19" max="19" width="5.421875" style="27" customWidth="1"/>
    <col min="20" max="20" width="8.8515625" style="27" customWidth="1"/>
    <col min="21" max="21" width="3.7109375" style="27" customWidth="1"/>
    <col min="22" max="22" width="5.421875" style="27" customWidth="1"/>
    <col min="23" max="23" width="3.140625" style="27" customWidth="1"/>
    <col min="24" max="24" width="3.7109375" style="27" customWidth="1"/>
    <col min="25" max="25" width="3.8515625" style="27" customWidth="1"/>
    <col min="26" max="26" width="3.7109375" style="27" customWidth="1"/>
    <col min="27" max="27" width="4.00390625" style="27" customWidth="1"/>
    <col min="28" max="28" width="3.140625" style="27" customWidth="1"/>
  </cols>
  <sheetData>
    <row r="1" spans="1:23" ht="20.25">
      <c r="A1" s="25" t="s">
        <v>125</v>
      </c>
      <c r="B1" s="26"/>
      <c r="C1" s="26"/>
      <c r="D1" s="26"/>
      <c r="G1" s="28"/>
      <c r="V1" s="37"/>
      <c r="W1" s="124" t="s">
        <v>17</v>
      </c>
    </row>
    <row r="2" spans="1:28" s="14" customFormat="1" ht="13.5">
      <c r="A2" s="30" t="s">
        <v>15</v>
      </c>
      <c r="B2" s="31" t="s">
        <v>6</v>
      </c>
      <c r="C2" s="31" t="s">
        <v>7</v>
      </c>
      <c r="D2" s="31" t="s">
        <v>8</v>
      </c>
      <c r="E2" s="32" t="s">
        <v>9</v>
      </c>
      <c r="F2" s="30"/>
      <c r="G2" s="32"/>
      <c r="H2" s="32" t="s">
        <v>10</v>
      </c>
      <c r="I2" s="30"/>
      <c r="J2" s="30"/>
      <c r="K2" s="30" t="s">
        <v>11</v>
      </c>
      <c r="L2" s="30"/>
      <c r="M2" s="30"/>
      <c r="N2" s="32" t="s">
        <v>12</v>
      </c>
      <c r="O2" s="30"/>
      <c r="P2" s="32"/>
      <c r="Q2" s="32" t="s">
        <v>13</v>
      </c>
      <c r="R2" s="30"/>
      <c r="S2" s="30"/>
      <c r="T2" s="30" t="s">
        <v>14</v>
      </c>
      <c r="U2" s="30"/>
      <c r="V2" s="123"/>
      <c r="W2" s="125" t="s">
        <v>16</v>
      </c>
      <c r="X2" s="33" t="s">
        <v>18</v>
      </c>
      <c r="Y2" s="33" t="s">
        <v>19</v>
      </c>
      <c r="Z2" s="33" t="s">
        <v>20</v>
      </c>
      <c r="AA2" s="33" t="s">
        <v>21</v>
      </c>
      <c r="AB2" s="33" t="s">
        <v>22</v>
      </c>
    </row>
    <row r="3" spans="1:28" ht="19.5" customHeight="1">
      <c r="A3" s="33" t="s">
        <v>65</v>
      </c>
      <c r="B3" s="34">
        <v>11.5</v>
      </c>
      <c r="C3" s="34">
        <v>11.7</v>
      </c>
      <c r="D3" s="34">
        <v>11.4</v>
      </c>
      <c r="E3" s="48" t="str">
        <f>jb!$C77</f>
        <v>Luke Turner</v>
      </c>
      <c r="F3" s="48" t="str">
        <f>jb!$D77</f>
        <v>W&amp;M</v>
      </c>
      <c r="G3" s="48">
        <f>jb!$E77</f>
        <v>11.9</v>
      </c>
      <c r="H3" s="48" t="str">
        <f>jb!$C78</f>
        <v>H Harry</v>
      </c>
      <c r="I3" s="48" t="str">
        <f>jb!$D78</f>
        <v>WB</v>
      </c>
      <c r="J3" s="48">
        <f>jb!$E78</f>
        <v>12.3</v>
      </c>
      <c r="K3" s="48" t="str">
        <f>jb!$C79</f>
        <v>P McErlain</v>
      </c>
      <c r="L3" s="48" t="str">
        <f>jb!$D79</f>
        <v>BRK</v>
      </c>
      <c r="M3" s="48">
        <f>jb!$E79</f>
        <v>12.5</v>
      </c>
      <c r="N3" s="48" t="str">
        <f>jb!$C80</f>
        <v>John MacGeevay</v>
      </c>
      <c r="O3" s="48" t="str">
        <f>jb!$D80</f>
        <v>SL</v>
      </c>
      <c r="P3" s="48">
        <f>jb!$E80</f>
        <v>12.7</v>
      </c>
      <c r="Q3" s="48" t="str">
        <f>jb!$C81</f>
        <v>Geo Sealey</v>
      </c>
      <c r="R3" s="48" t="str">
        <f>jb!$D81</f>
        <v>W&amp;M</v>
      </c>
      <c r="S3" s="48">
        <f>jb!$E81</f>
        <v>12.8</v>
      </c>
      <c r="T3" s="48">
        <f>jb!$C82</f>
      </c>
      <c r="U3" s="48">
        <f>jb!$D82</f>
      </c>
      <c r="V3" s="48">
        <f>jb!$E82</f>
        <v>0</v>
      </c>
      <c r="W3" s="125">
        <f>IF($F3="wb",6,0)+IF($I3="wb",5,0)+IF($L3="wb",4,0)+IF($O3="wb",3,0)+IF($R3="wb",2,0)+IF($U3="wb",1,0)</f>
        <v>5</v>
      </c>
      <c r="X3" s="33">
        <f>IF($F3="rdg",6,0)+IF($I3="rdg",5,0)+IF($L3="rdg",4,0)+IF($O3="rdg",3,0)+IF($R3="rdg",2,0)+IF($U3="rdg",1,0)</f>
        <v>0</v>
      </c>
      <c r="Y3" s="33">
        <f>IF($F3="wok",6,0)+IF($I3="wok",5,0)+IF($L3="wok",4,0)+IF($O3="wok",3,0)+IF($R3="wok",2,0)+IF($U3="wok",1,0)</f>
        <v>0</v>
      </c>
      <c r="Z3" s="33">
        <f>IF($F3="brk",6,0)+IF($I3="brk",5,0)+IF($L3="brk",4,0)+IF($O3="brk",3,0)+IF($R3="brk",2,0)+IF($U3="brk",1,0)</f>
        <v>4</v>
      </c>
      <c r="AA3" s="33">
        <f>IF($F3="w&amp;m",6,0)+IF($I3="w&amp;m",5,0)+IF($L3="w&amp;m",4,0)+IF($O3="w&amp;m",3,0)+IF($R3="w&amp;m",2,0)+IF($U3="w&amp;m",1,0)</f>
        <v>8</v>
      </c>
      <c r="AB3" s="33">
        <f>IF($F3="sl",6,0)+IF($I3="sl",5,0)+IF($L3="sl",4,0)+IF($O3="sl",3,0)+IF($R3="sl",2,0)+IF($U3="sl",1,0)</f>
        <v>3</v>
      </c>
    </row>
    <row r="4" spans="1:28" ht="19.5" customHeight="1">
      <c r="A4" s="33" t="s">
        <v>5</v>
      </c>
      <c r="B4" s="34">
        <v>23.3</v>
      </c>
      <c r="C4" s="34">
        <v>24</v>
      </c>
      <c r="D4" s="34">
        <v>23.3</v>
      </c>
      <c r="E4" s="48" t="str">
        <f>jb!$C141</f>
        <v>S Elwood</v>
      </c>
      <c r="F4" s="48" t="str">
        <f>jb!$D141</f>
        <v>WOK</v>
      </c>
      <c r="G4" s="48">
        <f>jb!$E141</f>
        <v>24.2</v>
      </c>
      <c r="H4" s="48" t="str">
        <f>jb!$C142</f>
        <v>Gabriel Isaacs</v>
      </c>
      <c r="I4" s="48" t="str">
        <f>jb!$D142</f>
        <v>RDG</v>
      </c>
      <c r="J4" s="48">
        <f>jb!$E142</f>
        <v>25</v>
      </c>
      <c r="K4" s="48" t="str">
        <f>jb!$C143</f>
        <v>Louis DaCosta</v>
      </c>
      <c r="L4" s="48" t="str">
        <f>jb!$D143</f>
        <v>SL</v>
      </c>
      <c r="M4" s="48">
        <f>jb!$E143</f>
        <v>25.1</v>
      </c>
      <c r="N4" s="48" t="str">
        <f>jb!$C144</f>
        <v>Louis Francis</v>
      </c>
      <c r="O4" s="48" t="str">
        <f>jb!$D144</f>
        <v>W&amp;M</v>
      </c>
      <c r="P4" s="48">
        <f>jb!$E144</f>
        <v>25.7</v>
      </c>
      <c r="Q4" s="48" t="str">
        <f>jb!$C145</f>
        <v>Frank Cotter</v>
      </c>
      <c r="R4" s="48" t="str">
        <f>jb!$D145</f>
        <v>SL</v>
      </c>
      <c r="S4" s="48">
        <f>jb!$E145</f>
        <v>26</v>
      </c>
      <c r="T4" s="48" t="str">
        <f>jb!$C146</f>
        <v>B Newman</v>
      </c>
      <c r="U4" s="48" t="str">
        <f>jb!$D146</f>
        <v>WB</v>
      </c>
      <c r="V4" s="48">
        <f>jb!$E146</f>
        <v>26.5</v>
      </c>
      <c r="W4" s="125">
        <f aca="true" t="shared" si="0" ref="W4:W17">IF($F4="wb",6,0)+IF($I4="wb",5,0)+IF($L4="wb",4,0)+IF($O4="wb",3,0)+IF($R4="wb",2,0)+IF($U4="wb",1,0)</f>
        <v>1</v>
      </c>
      <c r="X4" s="33">
        <f aca="true" t="shared" si="1" ref="X4:X17">IF($F4="rdg",6,0)+IF($I4="rdg",5,0)+IF($L4="rdg",4,0)+IF($O4="rdg",3,0)+IF($R4="rdg",2,0)+IF($U4="rdg",1,0)</f>
        <v>5</v>
      </c>
      <c r="Y4" s="33">
        <f aca="true" t="shared" si="2" ref="Y4:Y17">IF($F4="wok",6,0)+IF($I4="wok",5,0)+IF($L4="wok",4,0)+IF($O4="wok",3,0)+IF($R4="wok",2,0)+IF($U4="wok",1,0)</f>
        <v>6</v>
      </c>
      <c r="Z4" s="33">
        <f aca="true" t="shared" si="3" ref="Z4:Z17">IF($F4="brk",6,0)+IF($I4="brk",5,0)+IF($L4="brk",4,0)+IF($O4="brk",3,0)+IF($R4="brk",2,0)+IF($U4="brk",1,0)</f>
        <v>0</v>
      </c>
      <c r="AA4" s="33">
        <f aca="true" t="shared" si="4" ref="AA4:AA17">IF($F4="w&amp;m",6,0)+IF($I4="w&amp;m",5,0)+IF($L4="w&amp;m",4,0)+IF($O4="w&amp;m",3,0)+IF($R4="w&amp;m",2,0)+IF($U4="w&amp;m",1,0)</f>
        <v>3</v>
      </c>
      <c r="AB4" s="33">
        <f aca="true" t="shared" si="5" ref="AB4:AB17">IF($F4="sl",6,0)+IF($I4="sl",5,0)+IF($L4="sl",4,0)+IF($O4="sl",3,0)+IF($R4="sl",2,0)+IF($U4="sl",1,0)</f>
        <v>6</v>
      </c>
    </row>
    <row r="5" spans="1:28" ht="19.5" customHeight="1">
      <c r="A5" s="33" t="s">
        <v>66</v>
      </c>
      <c r="B5" s="56">
        <v>0.0014189814814814814</v>
      </c>
      <c r="C5" s="56">
        <v>0.0014467592592592594</v>
      </c>
      <c r="D5" s="56">
        <v>0.001412037037037037</v>
      </c>
      <c r="E5" s="48" t="str">
        <f>jb!$C25</f>
        <v>Tom Rickards</v>
      </c>
      <c r="F5" s="48" t="str">
        <f>jb!$D25</f>
        <v>RDG</v>
      </c>
      <c r="G5" s="50">
        <f>jb!$E25</f>
        <v>0.0014583333333333334</v>
      </c>
      <c r="H5" s="48" t="str">
        <f>jb!$C26</f>
        <v>Reuben Henry-Daire</v>
      </c>
      <c r="I5" s="48" t="str">
        <f>jb!$D26</f>
        <v>RDG</v>
      </c>
      <c r="J5" s="50">
        <f>jb!$E26</f>
        <v>0.0015150462962962962</v>
      </c>
      <c r="K5" s="48" t="str">
        <f>jb!$C27</f>
        <v>Luke Lom-Hynes</v>
      </c>
      <c r="L5" s="48" t="str">
        <f>jb!$D27</f>
        <v>W&amp;M</v>
      </c>
      <c r="M5" s="50">
        <f>jb!$E27</f>
        <v>0.001519675925925926</v>
      </c>
      <c r="N5" s="48" t="str">
        <f>jb!$C28</f>
        <v>H Maple</v>
      </c>
      <c r="O5" s="48" t="str">
        <f>jb!$D28</f>
        <v>WOK</v>
      </c>
      <c r="P5" s="50">
        <f>jb!$E28</f>
        <v>0.0015613425925925927</v>
      </c>
      <c r="Q5" s="48" t="str">
        <f>jb!$C29</f>
        <v>Elliot Lowe</v>
      </c>
      <c r="R5" s="48" t="str">
        <f>jb!$D29</f>
        <v>W&amp;M</v>
      </c>
      <c r="S5" s="50">
        <f>jb!$E29</f>
        <v>0.001571759259259259</v>
      </c>
      <c r="T5" s="48" t="str">
        <f>jb!$C30</f>
        <v>F H-Dryer</v>
      </c>
      <c r="U5" s="48" t="str">
        <f>jb!$D30</f>
        <v>WB</v>
      </c>
      <c r="V5" s="50">
        <f>jb!$E30</f>
        <v>0.0015833333333333335</v>
      </c>
      <c r="W5" s="125">
        <f t="shared" si="0"/>
        <v>1</v>
      </c>
      <c r="X5" s="33">
        <f t="shared" si="1"/>
        <v>11</v>
      </c>
      <c r="Y5" s="33">
        <f t="shared" si="2"/>
        <v>3</v>
      </c>
      <c r="Z5" s="33">
        <f t="shared" si="3"/>
        <v>0</v>
      </c>
      <c r="AA5" s="33">
        <f t="shared" si="4"/>
        <v>6</v>
      </c>
      <c r="AB5" s="33">
        <f t="shared" si="5"/>
        <v>0</v>
      </c>
    </row>
    <row r="6" spans="1:28" ht="19.5" customHeight="1">
      <c r="A6" s="33" t="s">
        <v>67</v>
      </c>
      <c r="B6" s="56">
        <v>0.002916666666666667</v>
      </c>
      <c r="C6" s="56">
        <v>0.0030324074074074073</v>
      </c>
      <c r="D6" s="56">
        <v>0.0029282407407407412</v>
      </c>
      <c r="E6" s="48" t="str">
        <f>jb!$C87</f>
        <v>M Raynor</v>
      </c>
      <c r="F6" s="48" t="str">
        <f>jb!$D87</f>
        <v>WB</v>
      </c>
      <c r="G6" s="50">
        <f>jb!$E87</f>
        <v>0.0030636574074074077</v>
      </c>
      <c r="H6" s="48" t="str">
        <f>jb!$C88</f>
        <v>Sam Hodgson</v>
      </c>
      <c r="I6" s="48" t="str">
        <f>jb!$D88</f>
        <v>RDG</v>
      </c>
      <c r="J6" s="50">
        <f>jb!$E88</f>
        <v>0.0032303240740740743</v>
      </c>
      <c r="K6" s="48" t="str">
        <f>jb!$C89</f>
        <v>L Bradshaw</v>
      </c>
      <c r="L6" s="48" t="str">
        <f>jb!$D89</f>
        <v>WOK</v>
      </c>
      <c r="M6" s="50">
        <f>jb!$E89</f>
        <v>0.0032939814814814815</v>
      </c>
      <c r="N6" s="48" t="str">
        <f>jb!$C90</f>
        <v>Nathan Hackley</v>
      </c>
      <c r="O6" s="48" t="str">
        <f>jb!$D90</f>
        <v>SL</v>
      </c>
      <c r="P6" s="50">
        <f>jb!$E90</f>
        <v>0.0033402777777777784</v>
      </c>
      <c r="Q6" s="48" t="str">
        <f>jb!$C91</f>
        <v>H Beattie</v>
      </c>
      <c r="R6" s="48" t="str">
        <f>jb!$D91</f>
        <v>WB</v>
      </c>
      <c r="S6" s="50">
        <f>jb!$E91</f>
        <v>0.0033935185185185184</v>
      </c>
      <c r="T6" s="48" t="str">
        <f>jb!$C92</f>
        <v>James Black</v>
      </c>
      <c r="U6" s="48" t="str">
        <f>jb!$D92</f>
        <v>SL</v>
      </c>
      <c r="V6" s="50">
        <f>jb!$E92</f>
        <v>0.0034155092592592588</v>
      </c>
      <c r="W6" s="125">
        <f t="shared" si="0"/>
        <v>8</v>
      </c>
      <c r="X6" s="33">
        <f t="shared" si="1"/>
        <v>5</v>
      </c>
      <c r="Y6" s="33">
        <f t="shared" si="2"/>
        <v>4</v>
      </c>
      <c r="Z6" s="33">
        <f t="shared" si="3"/>
        <v>0</v>
      </c>
      <c r="AA6" s="33">
        <f t="shared" si="4"/>
        <v>0</v>
      </c>
      <c r="AB6" s="33">
        <f t="shared" si="5"/>
        <v>4</v>
      </c>
    </row>
    <row r="7" spans="1:28" ht="19.5" customHeight="1">
      <c r="A7" s="33" t="s">
        <v>77</v>
      </c>
      <c r="B7" s="34">
        <v>11.1</v>
      </c>
      <c r="C7" s="34">
        <v>12</v>
      </c>
      <c r="D7" s="34">
        <v>11.6</v>
      </c>
      <c r="E7" s="48" t="str">
        <f>jb!$C103</f>
        <v>L Baker</v>
      </c>
      <c r="F7" s="48" t="str">
        <f>jb!$D103</f>
        <v>WB</v>
      </c>
      <c r="G7" s="48">
        <f>jb!$E103</f>
        <v>13</v>
      </c>
      <c r="H7" s="48" t="str">
        <f>jb!$C104</f>
        <v>Matthew Kirk</v>
      </c>
      <c r="I7" s="48" t="str">
        <f>jb!$D104</f>
        <v>RDG</v>
      </c>
      <c r="J7" s="48">
        <f>jb!$E104</f>
        <v>13.2</v>
      </c>
      <c r="K7" s="48" t="str">
        <f>jb!$C105</f>
        <v>Archie O'Dwyer</v>
      </c>
      <c r="L7" s="48" t="str">
        <f>jb!$D105</f>
        <v>W&amp;M</v>
      </c>
      <c r="M7" s="48">
        <f>jb!$E105</f>
        <v>14.3</v>
      </c>
      <c r="N7" s="48" t="str">
        <f>jb!$C106</f>
        <v>A Jardine</v>
      </c>
      <c r="O7" s="48" t="str">
        <f>jb!$D106</f>
        <v>WB</v>
      </c>
      <c r="P7" s="48">
        <f>jb!$E106</f>
        <v>14.7</v>
      </c>
      <c r="Q7" s="48">
        <f>jb!$C107</f>
      </c>
      <c r="R7" s="48">
        <f>jb!$D107</f>
      </c>
      <c r="S7" s="48">
        <f>jb!$E107</f>
        <v>0</v>
      </c>
      <c r="T7" s="48">
        <f>jb!$C108</f>
      </c>
      <c r="U7" s="48">
        <f>jb!$D108</f>
      </c>
      <c r="V7" s="48">
        <f>jb!$E108</f>
        <v>0</v>
      </c>
      <c r="W7" s="125">
        <f t="shared" si="0"/>
        <v>9</v>
      </c>
      <c r="X7" s="33">
        <f t="shared" si="1"/>
        <v>5</v>
      </c>
      <c r="Y7" s="33">
        <f t="shared" si="2"/>
        <v>0</v>
      </c>
      <c r="Z7" s="33">
        <f t="shared" si="3"/>
        <v>0</v>
      </c>
      <c r="AA7" s="33">
        <f t="shared" si="4"/>
        <v>4</v>
      </c>
      <c r="AB7" s="33">
        <f t="shared" si="5"/>
        <v>0</v>
      </c>
    </row>
    <row r="8" spans="1:28" ht="19.5" customHeight="1">
      <c r="A8" s="33" t="s">
        <v>81</v>
      </c>
      <c r="B8" s="34">
        <v>37</v>
      </c>
      <c r="C8" s="34">
        <v>38</v>
      </c>
      <c r="D8" s="34">
        <v>36.8</v>
      </c>
      <c r="E8" s="332" t="str">
        <f>jb!C131</f>
        <v>C Grant</v>
      </c>
      <c r="F8" s="333" t="str">
        <f>jb!D131</f>
        <v>WOK</v>
      </c>
      <c r="G8" s="334">
        <f>jb!E131</f>
        <v>38.3</v>
      </c>
      <c r="H8" s="333" t="str">
        <f>jb!C132</f>
        <v>Toby Hope</v>
      </c>
      <c r="I8" s="333" t="str">
        <f>jb!D132</f>
        <v>SL</v>
      </c>
      <c r="J8" s="333">
        <f>jb!E132</f>
        <v>38.7</v>
      </c>
      <c r="K8" s="333" t="str">
        <f>jb!C133</f>
        <v>J Nneke</v>
      </c>
      <c r="L8" s="333" t="str">
        <f>jb!D133</f>
        <v>WOK</v>
      </c>
      <c r="M8" s="333">
        <f>jb!E133</f>
        <v>39.1</v>
      </c>
      <c r="N8" s="333" t="str">
        <f>jb!C134</f>
        <v>Oluwatosin Odunsi</v>
      </c>
      <c r="O8" s="333" t="str">
        <f>jb!D134</f>
        <v>SL</v>
      </c>
      <c r="P8" s="333">
        <f>jb!E134</f>
        <v>42.2</v>
      </c>
      <c r="Q8" s="333" t="str">
        <f>jb!C135</f>
        <v>J Norman</v>
      </c>
      <c r="R8" s="333" t="str">
        <f>jb!D135</f>
        <v>BRK</v>
      </c>
      <c r="S8" s="333">
        <f>jb!E135</f>
        <v>42.5</v>
      </c>
      <c r="T8" s="333">
        <f>jb!C291</f>
      </c>
      <c r="U8" s="27">
        <f>jb!D291</f>
      </c>
      <c r="V8" s="27">
        <f>jb!E291</f>
        <v>0</v>
      </c>
      <c r="W8" s="125">
        <f t="shared" si="0"/>
        <v>0</v>
      </c>
      <c r="X8" s="33">
        <f t="shared" si="1"/>
        <v>0</v>
      </c>
      <c r="Y8" s="33">
        <f t="shared" si="2"/>
        <v>10</v>
      </c>
      <c r="Z8" s="33">
        <f t="shared" si="3"/>
        <v>2</v>
      </c>
      <c r="AA8" s="33">
        <f t="shared" si="4"/>
        <v>0</v>
      </c>
      <c r="AB8" s="33">
        <f t="shared" si="5"/>
        <v>8</v>
      </c>
    </row>
    <row r="9" spans="1:28" ht="19.5" customHeight="1">
      <c r="A9" s="33"/>
      <c r="B9" s="34"/>
      <c r="C9" s="34"/>
      <c r="D9" s="34"/>
      <c r="G9" s="28"/>
      <c r="V9" s="37"/>
      <c r="W9" s="125"/>
      <c r="X9" s="33"/>
      <c r="Y9" s="33"/>
      <c r="Z9" s="33"/>
      <c r="AA9" s="33"/>
      <c r="AB9" s="33"/>
    </row>
    <row r="10" spans="1:28" ht="19.5" customHeight="1">
      <c r="A10" s="33" t="s">
        <v>69</v>
      </c>
      <c r="B10" s="35">
        <v>6.4</v>
      </c>
      <c r="C10" s="35">
        <v>5.75</v>
      </c>
      <c r="D10" s="35">
        <v>5.95</v>
      </c>
      <c r="E10" s="48" t="str">
        <f>jb!$C220</f>
        <v>Tyquan Lee</v>
      </c>
      <c r="F10" s="36" t="str">
        <f>jb!$D220</f>
        <v>SL</v>
      </c>
      <c r="G10" s="36">
        <f>jb!$E220</f>
        <v>5.24</v>
      </c>
      <c r="H10" s="36" t="str">
        <f>jb!$C221</f>
        <v>Oliver Bazin</v>
      </c>
      <c r="I10" s="36" t="str">
        <f>jb!$D221</f>
        <v>WB</v>
      </c>
      <c r="J10" s="36">
        <f>jb!$E221</f>
        <v>5.23</v>
      </c>
      <c r="K10" s="36" t="str">
        <f>jb!$C222</f>
        <v>H Daisley</v>
      </c>
      <c r="L10" s="36" t="str">
        <f>jb!$D222</f>
        <v>WOK</v>
      </c>
      <c r="M10" s="36">
        <f>jb!$E222</f>
        <v>5.23</v>
      </c>
      <c r="N10" s="36" t="str">
        <f>jb!$C223</f>
        <v>Harvey Sommerville</v>
      </c>
      <c r="O10" s="36" t="str">
        <f>jb!$D223</f>
        <v>W&amp;M</v>
      </c>
      <c r="P10" s="36">
        <f>jb!$E223</f>
        <v>5.08</v>
      </c>
      <c r="Q10" s="36" t="str">
        <f>jb!$C224</f>
        <v>J Carless</v>
      </c>
      <c r="R10" s="36" t="str">
        <f>jb!$D224</f>
        <v>WOK</v>
      </c>
      <c r="S10" s="36">
        <f>jb!$E224</f>
        <v>5.07</v>
      </c>
      <c r="T10" s="36" t="str">
        <f>jb!$C225</f>
        <v>B Dennis</v>
      </c>
      <c r="U10" s="36" t="str">
        <f>jb!$D225</f>
        <v>WB</v>
      </c>
      <c r="V10" s="36">
        <f>jb!$E225</f>
        <v>5</v>
      </c>
      <c r="W10" s="125">
        <f t="shared" si="0"/>
        <v>6</v>
      </c>
      <c r="X10" s="33">
        <f t="shared" si="1"/>
        <v>0</v>
      </c>
      <c r="Y10" s="33">
        <f t="shared" si="2"/>
        <v>6</v>
      </c>
      <c r="Z10" s="33">
        <f t="shared" si="3"/>
        <v>0</v>
      </c>
      <c r="AA10" s="33">
        <f t="shared" si="4"/>
        <v>3</v>
      </c>
      <c r="AB10" s="33">
        <f t="shared" si="5"/>
        <v>6</v>
      </c>
    </row>
    <row r="11" spans="1:28" ht="19.5" customHeight="1">
      <c r="A11" s="33" t="s">
        <v>72</v>
      </c>
      <c r="B11" s="35">
        <v>1.83</v>
      </c>
      <c r="C11" s="35">
        <v>1.72</v>
      </c>
      <c r="D11" s="35">
        <v>1.78</v>
      </c>
      <c r="E11" s="36" t="str">
        <f>jb!$C188</f>
        <v>Lio Owana</v>
      </c>
      <c r="F11" s="36" t="str">
        <f>jb!$D188</f>
        <v>W&amp;M</v>
      </c>
      <c r="G11" s="318">
        <f>jb!$E188</f>
        <v>1.72</v>
      </c>
      <c r="H11" s="36" t="str">
        <f>jb!$C189</f>
        <v>Estanis de la Quadro-Salcedo</v>
      </c>
      <c r="I11" s="36" t="str">
        <f>jb!$D189</f>
        <v>SL</v>
      </c>
      <c r="J11" s="36">
        <f>jb!$E189</f>
        <v>1.65</v>
      </c>
      <c r="K11" s="36" t="str">
        <f>jb!$C190</f>
        <v>J Cox</v>
      </c>
      <c r="L11" s="36" t="str">
        <f>jb!$D190</f>
        <v>WB</v>
      </c>
      <c r="M11" s="36">
        <f>jb!$E190</f>
        <v>1.6</v>
      </c>
      <c r="N11" s="36" t="str">
        <f>jb!$C191</f>
        <v>T Hamouday</v>
      </c>
      <c r="O11" s="36" t="str">
        <f>jb!$D191</f>
        <v>WOK</v>
      </c>
      <c r="P11" s="36">
        <f>jb!$E191</f>
        <v>1.55</v>
      </c>
      <c r="Q11" s="36" t="str">
        <f>jb!$C192</f>
        <v>O Hazell</v>
      </c>
      <c r="R11" s="36" t="str">
        <f>jb!$D192</f>
        <v>RDG</v>
      </c>
      <c r="S11" s="36">
        <f>jb!$E192</f>
        <v>1.5</v>
      </c>
      <c r="T11" s="36" t="str">
        <f>jb!$C193</f>
        <v>B Munro</v>
      </c>
      <c r="U11" s="36" t="str">
        <f>jb!$D193</f>
        <v>WOK</v>
      </c>
      <c r="V11" s="36">
        <f>jb!$E193</f>
        <v>1.5</v>
      </c>
      <c r="W11" s="125">
        <f t="shared" si="0"/>
        <v>4</v>
      </c>
      <c r="X11" s="33">
        <f t="shared" si="1"/>
        <v>2</v>
      </c>
      <c r="Y11" s="33">
        <f t="shared" si="2"/>
        <v>4</v>
      </c>
      <c r="Z11" s="33">
        <f t="shared" si="3"/>
        <v>0</v>
      </c>
      <c r="AA11" s="33">
        <f t="shared" si="4"/>
        <v>6</v>
      </c>
      <c r="AB11" s="33">
        <f t="shared" si="5"/>
        <v>5</v>
      </c>
    </row>
    <row r="12" spans="1:28" ht="19.5" customHeight="1">
      <c r="A12" s="33" t="s">
        <v>80</v>
      </c>
      <c r="B12" s="35">
        <v>13.6</v>
      </c>
      <c r="C12" s="35">
        <v>12</v>
      </c>
      <c r="D12" s="35">
        <v>12.4</v>
      </c>
      <c r="E12" s="36" t="str">
        <f>jb!$C252</f>
        <v>Chris Kennedy</v>
      </c>
      <c r="F12" s="36" t="str">
        <f>jb!$D252</f>
        <v>W&amp;M</v>
      </c>
      <c r="G12" s="36">
        <f>jb!$E252</f>
        <v>11.42</v>
      </c>
      <c r="H12" s="36" t="str">
        <f>jb!$C253</f>
        <v>Rhys Hughes</v>
      </c>
      <c r="I12" s="36" t="str">
        <f>jb!$D253</f>
        <v>W&amp;M</v>
      </c>
      <c r="J12" s="36">
        <f>jb!$E253</f>
        <v>11.31</v>
      </c>
      <c r="K12" s="36" t="str">
        <f>jb!$C254</f>
        <v>Malek Issimaila</v>
      </c>
      <c r="L12" s="36" t="str">
        <f>jb!$D254</f>
        <v>SL</v>
      </c>
      <c r="M12" s="36">
        <f>jb!$E254</f>
        <v>10.52</v>
      </c>
      <c r="N12" s="36" t="str">
        <f>jb!$C255</f>
        <v>R Gooding</v>
      </c>
      <c r="O12" s="36" t="str">
        <f>jb!$D255</f>
        <v>WOK</v>
      </c>
      <c r="P12" s="36">
        <f>jb!$E255</f>
        <v>10.21</v>
      </c>
      <c r="Q12" s="36">
        <f>jb!$C256</f>
      </c>
      <c r="R12" s="36">
        <f>jb!$D256</f>
      </c>
      <c r="S12" s="36">
        <f>jb!$E256</f>
        <v>0</v>
      </c>
      <c r="T12" s="36">
        <f>jb!$C257</f>
      </c>
      <c r="U12" s="36">
        <f>jb!$D257</f>
      </c>
      <c r="V12" s="36">
        <f>jb!$E257</f>
        <v>0</v>
      </c>
      <c r="W12" s="125">
        <f t="shared" si="0"/>
        <v>0</v>
      </c>
      <c r="X12" s="33">
        <f t="shared" si="1"/>
        <v>0</v>
      </c>
      <c r="Y12" s="33">
        <f t="shared" si="2"/>
        <v>3</v>
      </c>
      <c r="Z12" s="33">
        <f t="shared" si="3"/>
        <v>0</v>
      </c>
      <c r="AA12" s="33">
        <f t="shared" si="4"/>
        <v>11</v>
      </c>
      <c r="AB12" s="33">
        <f t="shared" si="5"/>
        <v>4</v>
      </c>
    </row>
    <row r="13" spans="1:28" ht="19.5" customHeight="1">
      <c r="A13" s="33" t="s">
        <v>79</v>
      </c>
      <c r="B13" s="35">
        <v>3.2</v>
      </c>
      <c r="C13" s="35">
        <v>3.05</v>
      </c>
      <c r="D13" s="35">
        <v>3.35</v>
      </c>
      <c r="E13" s="36" t="str">
        <f>jb!$C180</f>
        <v>Toby Irving</v>
      </c>
      <c r="F13" s="36" t="str">
        <f>jb!$D180</f>
        <v>WOK</v>
      </c>
      <c r="G13" s="318">
        <f>jb!$E180</f>
        <v>3.1</v>
      </c>
      <c r="H13" s="36">
        <f>jb!$C181</f>
      </c>
      <c r="I13" s="36">
        <f>jb!$D181</f>
      </c>
      <c r="J13" s="36">
        <f>jb!$E181</f>
        <v>0</v>
      </c>
      <c r="K13" s="36">
        <f>jb!$C182</f>
      </c>
      <c r="L13" s="36">
        <f>jb!$D182</f>
      </c>
      <c r="M13" s="36">
        <f>jb!$E182</f>
        <v>0</v>
      </c>
      <c r="N13" s="36">
        <f>jb!$C183</f>
      </c>
      <c r="O13" s="36">
        <f>jb!$D183</f>
      </c>
      <c r="P13" s="36">
        <f>jb!$E183</f>
        <v>0</v>
      </c>
      <c r="Q13" s="36">
        <f>jb!$C184</f>
      </c>
      <c r="R13" s="36">
        <f>jb!$D184</f>
      </c>
      <c r="S13" s="36">
        <f>jb!$E184</f>
        <v>0</v>
      </c>
      <c r="T13" s="36"/>
      <c r="U13" s="36"/>
      <c r="V13" s="36"/>
      <c r="W13" s="125">
        <f t="shared" si="0"/>
        <v>0</v>
      </c>
      <c r="X13" s="33">
        <f t="shared" si="1"/>
        <v>0</v>
      </c>
      <c r="Y13" s="33">
        <f t="shared" si="2"/>
        <v>6</v>
      </c>
      <c r="Z13" s="33">
        <f t="shared" si="3"/>
        <v>0</v>
      </c>
      <c r="AA13" s="33">
        <f t="shared" si="4"/>
        <v>0</v>
      </c>
      <c r="AB13" s="33">
        <f t="shared" si="5"/>
        <v>0</v>
      </c>
    </row>
    <row r="14" spans="1:28" ht="19.5" customHeight="1">
      <c r="A14" s="33" t="s">
        <v>70</v>
      </c>
      <c r="B14" s="35">
        <v>47.45</v>
      </c>
      <c r="C14" s="35">
        <v>34</v>
      </c>
      <c r="D14" s="35">
        <v>38</v>
      </c>
      <c r="E14" s="36" t="str">
        <f>jb!$C204</f>
        <v>Harry Booker</v>
      </c>
      <c r="F14" s="36" t="str">
        <f>jb!$D204</f>
        <v>WB</v>
      </c>
      <c r="G14" s="318">
        <f>jb!$E204</f>
        <v>37.9</v>
      </c>
      <c r="H14" s="36" t="str">
        <f>jb!$C205</f>
        <v>Max Wheatley</v>
      </c>
      <c r="I14" s="36" t="str">
        <f>jb!$D205</f>
        <v>SL</v>
      </c>
      <c r="J14" s="36">
        <f>jb!$E205</f>
        <v>30.31</v>
      </c>
      <c r="K14" s="36" t="str">
        <f>jb!$C206</f>
        <v>G Nazier</v>
      </c>
      <c r="L14" s="36" t="str">
        <f>jb!$D206</f>
        <v>BRK</v>
      </c>
      <c r="M14" s="36">
        <f>jb!$E206</f>
        <v>23.14</v>
      </c>
      <c r="N14" s="36" t="str">
        <f>jb!$C207</f>
        <v>D Khtava</v>
      </c>
      <c r="O14" s="36" t="str">
        <f>jb!$D207</f>
        <v>BRK</v>
      </c>
      <c r="P14" s="36">
        <f>jb!$E207</f>
        <v>22.77</v>
      </c>
      <c r="Q14" s="36" t="str">
        <f>jb!$C208</f>
        <v>Davion Daley</v>
      </c>
      <c r="R14" s="36" t="str">
        <f>jb!$D208</f>
        <v>SL</v>
      </c>
      <c r="S14" s="36">
        <f>jb!$E208</f>
        <v>21.72</v>
      </c>
      <c r="T14" s="36" t="str">
        <f>jb!$C209</f>
        <v>S Hart</v>
      </c>
      <c r="U14" s="36" t="str">
        <f>jb!$D209</f>
        <v>WOK</v>
      </c>
      <c r="V14" s="36">
        <f>jb!$E209</f>
        <v>18.7</v>
      </c>
      <c r="W14" s="125">
        <f t="shared" si="0"/>
        <v>6</v>
      </c>
      <c r="X14" s="33">
        <f t="shared" si="1"/>
        <v>0</v>
      </c>
      <c r="Y14" s="33">
        <f t="shared" si="2"/>
        <v>1</v>
      </c>
      <c r="Z14" s="33">
        <f t="shared" si="3"/>
        <v>7</v>
      </c>
      <c r="AA14" s="33">
        <f t="shared" si="4"/>
        <v>0</v>
      </c>
      <c r="AB14" s="33">
        <f t="shared" si="5"/>
        <v>7</v>
      </c>
    </row>
    <row r="15" spans="1:28" ht="19.5" customHeight="1">
      <c r="A15" s="33" t="s">
        <v>71</v>
      </c>
      <c r="B15" s="35">
        <v>15.26</v>
      </c>
      <c r="C15" s="35">
        <v>12.3</v>
      </c>
      <c r="D15" s="35">
        <v>13.3</v>
      </c>
      <c r="E15" s="36" t="str">
        <f>jb!$C163</f>
        <v>Hardeep Heer</v>
      </c>
      <c r="F15" s="36" t="str">
        <f>jb!$D163</f>
        <v>SL</v>
      </c>
      <c r="G15" s="36">
        <f>jb!$E163</f>
        <v>11.89</v>
      </c>
      <c r="H15" s="36" t="str">
        <f>jb!$C164</f>
        <v>E Obienu</v>
      </c>
      <c r="I15" s="36" t="str">
        <f>jb!$D164</f>
        <v>RDG</v>
      </c>
      <c r="J15" s="36">
        <f>jb!$E164</f>
        <v>11.01</v>
      </c>
      <c r="K15" s="36" t="str">
        <f>jb!$C165</f>
        <v>O Gregory</v>
      </c>
      <c r="L15" s="36" t="str">
        <f>jb!$D165</f>
        <v>WB</v>
      </c>
      <c r="M15" s="36">
        <f>jb!$E165</f>
        <v>10.92</v>
      </c>
      <c r="N15" s="36" t="str">
        <f>jb!$C166</f>
        <v>Conor Sitton</v>
      </c>
      <c r="O15" s="36" t="str">
        <f>jb!$D166</f>
        <v>WB</v>
      </c>
      <c r="P15" s="36">
        <f>jb!$E166</f>
        <v>10.85</v>
      </c>
      <c r="Q15" s="36" t="str">
        <f>jb!$C167</f>
        <v>D Osagie</v>
      </c>
      <c r="R15" s="36" t="str">
        <f>jb!$D167</f>
        <v>WOK</v>
      </c>
      <c r="S15" s="36">
        <f>jb!$E167</f>
        <v>10.47</v>
      </c>
      <c r="T15" s="36" t="str">
        <f>jb!$C168</f>
        <v>David Saab</v>
      </c>
      <c r="U15" s="36" t="str">
        <f>jb!$D168</f>
        <v>W&amp;M</v>
      </c>
      <c r="V15" s="36">
        <f>jb!$E168</f>
        <v>10.06</v>
      </c>
      <c r="W15" s="125">
        <f t="shared" si="0"/>
        <v>7</v>
      </c>
      <c r="X15" s="33">
        <f t="shared" si="1"/>
        <v>5</v>
      </c>
      <c r="Y15" s="33">
        <f t="shared" si="2"/>
        <v>2</v>
      </c>
      <c r="Z15" s="33">
        <f t="shared" si="3"/>
        <v>0</v>
      </c>
      <c r="AA15" s="33">
        <f t="shared" si="4"/>
        <v>1</v>
      </c>
      <c r="AB15" s="33">
        <f t="shared" si="5"/>
        <v>6</v>
      </c>
    </row>
    <row r="16" spans="1:28" ht="19.5" customHeight="1">
      <c r="A16" s="33" t="s">
        <v>73</v>
      </c>
      <c r="B16" s="35">
        <v>48.72</v>
      </c>
      <c r="C16" s="35">
        <v>43</v>
      </c>
      <c r="D16" s="35">
        <v>46</v>
      </c>
      <c r="E16" s="36" t="str">
        <f>jb!$C236</f>
        <v>Ben East</v>
      </c>
      <c r="F16" s="36" t="str">
        <f>jb!$D236</f>
        <v>WB</v>
      </c>
      <c r="G16" s="319">
        <f>jb!$E236</f>
        <v>48.47</v>
      </c>
      <c r="H16" s="36" t="str">
        <f>jb!$C237</f>
        <v>J McCafferty</v>
      </c>
      <c r="I16" s="36" t="str">
        <f>jb!$D237</f>
        <v>WOK</v>
      </c>
      <c r="J16" s="318">
        <f>jb!$E237</f>
        <v>45.2</v>
      </c>
      <c r="K16" s="36" t="str">
        <f>jb!$C238</f>
        <v>L Holzman</v>
      </c>
      <c r="L16" s="36" t="str">
        <f>jb!$D238</f>
        <v>WOK</v>
      </c>
      <c r="M16" s="318">
        <f>jb!$E238</f>
        <v>43.47</v>
      </c>
      <c r="N16" s="36" t="str">
        <f>jb!$C239</f>
        <v>J Cannons</v>
      </c>
      <c r="O16" s="36" t="str">
        <f>jb!$D239</f>
        <v>WB</v>
      </c>
      <c r="P16" s="36">
        <f>jb!$E239</f>
        <v>35.28</v>
      </c>
      <c r="Q16" s="36" t="str">
        <f>jb!$C240</f>
        <v>B Nason</v>
      </c>
      <c r="R16" s="36" t="str">
        <f>jb!$D240</f>
        <v>BRK</v>
      </c>
      <c r="S16" s="36">
        <f>jb!$E240</f>
        <v>34.24</v>
      </c>
      <c r="T16" s="36" t="str">
        <f>jb!$C241</f>
        <v>Joshua Patterson</v>
      </c>
      <c r="U16" s="36" t="str">
        <f>jb!$D241</f>
        <v>W&amp;M</v>
      </c>
      <c r="V16" s="36">
        <f>jb!$E241</f>
        <v>32.28</v>
      </c>
      <c r="W16" s="125">
        <f t="shared" si="0"/>
        <v>9</v>
      </c>
      <c r="X16" s="33">
        <f t="shared" si="1"/>
        <v>0</v>
      </c>
      <c r="Y16" s="33">
        <f t="shared" si="2"/>
        <v>9</v>
      </c>
      <c r="Z16" s="33">
        <f t="shared" si="3"/>
        <v>2</v>
      </c>
      <c r="AA16" s="33">
        <f t="shared" si="4"/>
        <v>1</v>
      </c>
      <c r="AB16" s="33">
        <f t="shared" si="5"/>
        <v>0</v>
      </c>
    </row>
    <row r="17" spans="1:28" ht="19.5" customHeight="1">
      <c r="A17" s="33" t="s">
        <v>78</v>
      </c>
      <c r="B17" s="35">
        <v>69.1</v>
      </c>
      <c r="C17" s="35">
        <v>38</v>
      </c>
      <c r="D17" s="35">
        <v>45</v>
      </c>
      <c r="E17" s="36" t="str">
        <f>jb!$C153</f>
        <v>Jamie Bonella-Duke</v>
      </c>
      <c r="F17" s="36" t="str">
        <f>jb!$D153</f>
        <v>RDG</v>
      </c>
      <c r="G17" s="318">
        <f>jb!$E153</f>
        <v>41.98</v>
      </c>
      <c r="H17" s="36">
        <f>jb!$C154</f>
      </c>
      <c r="I17" s="36">
        <f>jb!$D154</f>
      </c>
      <c r="J17" s="36">
        <f>jb!$E154</f>
        <v>0</v>
      </c>
      <c r="K17" s="36">
        <f>jb!$C155</f>
      </c>
      <c r="L17" s="36">
        <f>jb!$D155</f>
      </c>
      <c r="M17" s="36">
        <f>jb!$E155</f>
        <v>0</v>
      </c>
      <c r="N17" s="36">
        <f>jb!$C156</f>
      </c>
      <c r="O17" s="36">
        <f>jb!$D156</f>
      </c>
      <c r="P17" s="36">
        <f>jb!$E156</f>
        <v>0</v>
      </c>
      <c r="Q17" s="36">
        <f>jb!$C157</f>
      </c>
      <c r="R17" s="36">
        <f>jb!$D157</f>
      </c>
      <c r="S17" s="36">
        <f>jb!$E157</f>
        <v>0</v>
      </c>
      <c r="T17" s="36">
        <f>jb!$C158</f>
      </c>
      <c r="U17" s="36">
        <f>jb!$D158</f>
      </c>
      <c r="V17" s="36">
        <f>jb!$E158</f>
        <v>0</v>
      </c>
      <c r="W17" s="125">
        <f t="shared" si="0"/>
        <v>0</v>
      </c>
      <c r="X17" s="33">
        <f t="shared" si="1"/>
        <v>6</v>
      </c>
      <c r="Y17" s="33">
        <f t="shared" si="2"/>
        <v>0</v>
      </c>
      <c r="Z17" s="33">
        <f t="shared" si="3"/>
        <v>0</v>
      </c>
      <c r="AA17" s="33">
        <f t="shared" si="4"/>
        <v>0</v>
      </c>
      <c r="AB17" s="33">
        <f t="shared" si="5"/>
        <v>0</v>
      </c>
    </row>
    <row r="18" spans="2:28" ht="12.75">
      <c r="B18" s="26"/>
      <c r="C18" s="26"/>
      <c r="D18" s="26"/>
      <c r="G18" s="28"/>
      <c r="T18" s="27" t="s">
        <v>74</v>
      </c>
      <c r="V18" s="37"/>
      <c r="W18" s="124">
        <f aca="true" t="shared" si="6" ref="W18:AB18">SUM(W3:W17)</f>
        <v>56</v>
      </c>
      <c r="X18" s="27">
        <f t="shared" si="6"/>
        <v>39</v>
      </c>
      <c r="Y18" s="27">
        <f t="shared" si="6"/>
        <v>54</v>
      </c>
      <c r="Z18" s="27">
        <f t="shared" si="6"/>
        <v>15</v>
      </c>
      <c r="AA18" s="27">
        <f t="shared" si="6"/>
        <v>43</v>
      </c>
      <c r="AB18" s="27">
        <f t="shared" si="6"/>
        <v>49</v>
      </c>
    </row>
    <row r="19" spans="20:28" ht="12.75">
      <c r="T19" s="27" t="s">
        <v>75</v>
      </c>
      <c r="V19" s="37"/>
      <c r="W19" s="124">
        <f aca="true" t="shared" si="7" ref="W19:AB19">COUNT(W3:W17)</f>
        <v>14</v>
      </c>
      <c r="X19" s="27">
        <f t="shared" si="7"/>
        <v>14</v>
      </c>
      <c r="Y19" s="27">
        <f t="shared" si="7"/>
        <v>14</v>
      </c>
      <c r="Z19" s="27">
        <f t="shared" si="7"/>
        <v>14</v>
      </c>
      <c r="AA19" s="27">
        <f t="shared" si="7"/>
        <v>14</v>
      </c>
      <c r="AB19" s="27">
        <f t="shared" si="7"/>
        <v>14</v>
      </c>
    </row>
    <row r="20" ht="12.75">
      <c r="A20" s="154"/>
    </row>
  </sheetData>
  <sheetProtection/>
  <printOptions gridLines="1"/>
  <pageMargins left="0" right="0" top="1.5748031496062993" bottom="0.3937007874015748" header="0.3937007874015748" footer="0.1968503937007874"/>
  <pageSetup fitToHeight="1" fitToWidth="1" horizontalDpi="300" verticalDpi="300" orientation="landscape" paperSize="9" scale="98" r:id="rId2"/>
  <headerFooter alignWithMargins="0">
    <oddHeader>&amp;L&amp;G&amp;C&amp;"Arial,Bold"&amp;18Berkshire Schools Track &amp;&amp; Field Championships
Saturday, 12 June 2010
Palmer Park Reading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W296"/>
  <sheetViews>
    <sheetView zoomScale="106" zoomScaleNormal="106" zoomScalePageLayoutView="0" workbookViewId="0" topLeftCell="A1">
      <pane ySplit="1" topLeftCell="A148" activePane="bottomLeft" state="frozen"/>
      <selection pane="topLeft" activeCell="A1" sqref="A1"/>
      <selection pane="bottomLeft" activeCell="B158" sqref="B158"/>
    </sheetView>
  </sheetViews>
  <sheetFormatPr defaultColWidth="9.140625" defaultRowHeight="12.75"/>
  <cols>
    <col min="2" max="2" width="9.140625" style="144" customWidth="1"/>
    <col min="5" max="5" width="9.140625" style="144" customWidth="1"/>
    <col min="7" max="7" width="4.8515625" style="55" customWidth="1"/>
    <col min="8" max="8" width="4.8515625" style="315" customWidth="1"/>
    <col min="11" max="11" width="9.140625" style="161" customWidth="1"/>
    <col min="17" max="18" width="4.140625" style="55" customWidth="1"/>
  </cols>
  <sheetData>
    <row r="1" spans="1:18" s="14" customFormat="1" ht="12.75">
      <c r="A1" s="14" t="s">
        <v>23</v>
      </c>
      <c r="B1" s="143"/>
      <c r="E1" s="143"/>
      <c r="G1" s="51"/>
      <c r="H1" s="314"/>
      <c r="K1" s="160"/>
      <c r="Q1" s="51"/>
      <c r="R1" s="51"/>
    </row>
    <row r="3" spans="1:18" s="14" customFormat="1" ht="12.75">
      <c r="A3" s="14" t="s">
        <v>25</v>
      </c>
      <c r="B3" s="143"/>
      <c r="E3" s="143"/>
      <c r="G3" s="51"/>
      <c r="H3" s="314"/>
      <c r="K3" s="160"/>
      <c r="Q3" s="51"/>
      <c r="R3" s="51"/>
    </row>
    <row r="4" spans="1:11" ht="12.75">
      <c r="A4" s="1" t="s">
        <v>0</v>
      </c>
      <c r="B4" s="134" t="s">
        <v>1</v>
      </c>
      <c r="C4" s="3" t="s">
        <v>2</v>
      </c>
      <c r="D4" s="4" t="s">
        <v>3</v>
      </c>
      <c r="E4" s="147" t="s">
        <v>4</v>
      </c>
      <c r="F4" s="16" t="s">
        <v>24</v>
      </c>
      <c r="I4" t="s">
        <v>6</v>
      </c>
      <c r="J4">
        <v>44.7</v>
      </c>
      <c r="K4" s="161" t="s">
        <v>213</v>
      </c>
    </row>
    <row r="5" spans="1:10" ht="12.75">
      <c r="A5" s="6">
        <v>1</v>
      </c>
      <c r="B5" s="138">
        <v>9</v>
      </c>
      <c r="C5" s="8" t="str">
        <f aca="true" t="shared" si="0" ref="C5:C10">IF(OR($B5=0,$B5=""),"",VLOOKUP($B5,ig300mh,2,FALSE))</f>
        <v>Orla Brennan</v>
      </c>
      <c r="D5" s="8" t="str">
        <f aca="true" t="shared" si="1" ref="D5:D10">IF(OR($B5=0,$B5=""),"",VLOOKUP($B5,ig300mh,3,FALSE))</f>
        <v>W&amp;M</v>
      </c>
      <c r="E5" s="148">
        <v>45.2</v>
      </c>
      <c r="F5">
        <v>6</v>
      </c>
      <c r="G5" s="42">
        <f>IF(E5="","",IF(E5&gt;J4,"","CBP"))</f>
      </c>
      <c r="H5" s="315" t="str">
        <f aca="true" t="shared" si="2" ref="H5:H10">IF(E5="","",IF(E5&gt;J$5,"","ESQ"))</f>
        <v>ESQ</v>
      </c>
      <c r="I5" t="s">
        <v>26</v>
      </c>
      <c r="J5">
        <v>46.8</v>
      </c>
    </row>
    <row r="6" spans="1:8" ht="12.75">
      <c r="A6" s="6">
        <v>2</v>
      </c>
      <c r="B6" s="138">
        <v>1</v>
      </c>
      <c r="C6" s="8" t="str">
        <f t="shared" si="0"/>
        <v>I Norrey</v>
      </c>
      <c r="D6" s="8" t="str">
        <f t="shared" si="1"/>
        <v>BRK</v>
      </c>
      <c r="E6" s="148">
        <v>47.8</v>
      </c>
      <c r="F6">
        <v>5</v>
      </c>
      <c r="H6" s="315">
        <f t="shared" si="2"/>
      </c>
    </row>
    <row r="7" spans="1:8" ht="12.75">
      <c r="A7" s="6">
        <v>3</v>
      </c>
      <c r="B7" s="145"/>
      <c r="C7" s="8">
        <f t="shared" si="0"/>
      </c>
      <c r="D7" s="8">
        <f t="shared" si="1"/>
      </c>
      <c r="E7" s="148"/>
      <c r="F7">
        <v>4</v>
      </c>
      <c r="H7" s="315">
        <f t="shared" si="2"/>
      </c>
    </row>
    <row r="8" spans="1:8" ht="12.75">
      <c r="A8" s="6">
        <v>4</v>
      </c>
      <c r="B8" s="141"/>
      <c r="C8" s="8">
        <f t="shared" si="0"/>
      </c>
      <c r="D8" s="8">
        <f t="shared" si="1"/>
      </c>
      <c r="E8" s="148"/>
      <c r="F8">
        <v>3</v>
      </c>
      <c r="H8" s="315">
        <f t="shared" si="2"/>
      </c>
    </row>
    <row r="9" spans="1:8" ht="12.75">
      <c r="A9" s="6">
        <v>5</v>
      </c>
      <c r="B9" s="132"/>
      <c r="C9" s="8">
        <f t="shared" si="0"/>
      </c>
      <c r="D9" s="8">
        <f t="shared" si="1"/>
      </c>
      <c r="E9" s="148"/>
      <c r="F9">
        <v>2</v>
      </c>
      <c r="H9" s="315">
        <f t="shared" si="2"/>
      </c>
    </row>
    <row r="10" spans="1:8" ht="12.75">
      <c r="A10" s="6">
        <v>6</v>
      </c>
      <c r="B10" s="145"/>
      <c r="C10" s="8">
        <f t="shared" si="0"/>
      </c>
      <c r="D10" s="8">
        <f t="shared" si="1"/>
      </c>
      <c r="E10" s="148"/>
      <c r="F10">
        <v>1</v>
      </c>
      <c r="H10" s="315">
        <f t="shared" si="2"/>
      </c>
    </row>
    <row r="12" spans="1:18" s="14" customFormat="1" ht="12.75">
      <c r="A12" s="14" t="s">
        <v>36</v>
      </c>
      <c r="B12" s="143"/>
      <c r="E12" s="143"/>
      <c r="G12" s="51"/>
      <c r="H12" s="314"/>
      <c r="K12" s="160"/>
      <c r="Q12" s="51"/>
      <c r="R12" s="51"/>
    </row>
    <row r="13" ht="12.75">
      <c r="A13" t="s">
        <v>32</v>
      </c>
    </row>
    <row r="14" spans="1:16" ht="12.75">
      <c r="A14" s="1" t="s">
        <v>0</v>
      </c>
      <c r="B14" s="134" t="s">
        <v>1</v>
      </c>
      <c r="C14" s="3" t="s">
        <v>2</v>
      </c>
      <c r="D14" s="4" t="s">
        <v>3</v>
      </c>
      <c r="E14" s="147" t="s">
        <v>4</v>
      </c>
      <c r="F14" s="16" t="s">
        <v>114</v>
      </c>
      <c r="I14" t="s">
        <v>6</v>
      </c>
      <c r="J14" s="12">
        <v>12</v>
      </c>
      <c r="K14" s="158" t="s">
        <v>217</v>
      </c>
      <c r="L14" s="2"/>
      <c r="M14" s="3"/>
      <c r="N14" s="4"/>
      <c r="O14" s="5"/>
      <c r="P14" s="16"/>
    </row>
    <row r="15" spans="1:18" ht="12.75">
      <c r="A15" s="6">
        <v>1</v>
      </c>
      <c r="B15" s="138">
        <v>11</v>
      </c>
      <c r="C15" s="8" t="str">
        <f aca="true" t="shared" si="3" ref="C15:C21">IF(OR($B15=0,$B15=""),"",VLOOKUP($B15,ig100m,2,FALSE))</f>
        <v>E Whybrow</v>
      </c>
      <c r="D15" s="8" t="str">
        <f aca="true" t="shared" si="4" ref="D15:D21">IF(OR($B15=0,$B15=""),"",VLOOKUP($B15,ig100m,3,FALSE))</f>
        <v>WOK</v>
      </c>
      <c r="E15" s="148">
        <v>13</v>
      </c>
      <c r="F15" s="42" t="s">
        <v>123</v>
      </c>
      <c r="G15" s="42">
        <f>IF(E15="","",IF(E15&gt;J14,"","CBP"))</f>
      </c>
      <c r="H15" s="315">
        <f aca="true" t="shared" si="5" ref="H15:H20">IF(E15="","",IF(E15&gt;J$15,"","ESQ"))</f>
      </c>
      <c r="I15" t="s">
        <v>26</v>
      </c>
      <c r="J15" s="12">
        <v>12.6</v>
      </c>
      <c r="K15" s="158"/>
      <c r="L15" s="7"/>
      <c r="M15" s="8"/>
      <c r="N15" s="8"/>
      <c r="O15" s="9"/>
      <c r="Q15" s="42"/>
      <c r="R15" s="42"/>
    </row>
    <row r="16" spans="1:18" ht="12.75">
      <c r="A16" s="6">
        <v>2</v>
      </c>
      <c r="B16" s="138">
        <v>10</v>
      </c>
      <c r="C16" s="8" t="str">
        <f t="shared" si="3"/>
        <v>Izzy Byrne</v>
      </c>
      <c r="D16" s="8" t="str">
        <f t="shared" si="4"/>
        <v>W&amp;M</v>
      </c>
      <c r="E16" s="148">
        <v>13.7</v>
      </c>
      <c r="F16" s="42" t="s">
        <v>123</v>
      </c>
      <c r="H16" s="315">
        <f t="shared" si="5"/>
      </c>
      <c r="J16" s="12"/>
      <c r="K16" s="158"/>
      <c r="L16" s="7"/>
      <c r="M16" s="8"/>
      <c r="N16" s="8"/>
      <c r="O16" s="9"/>
      <c r="R16" s="42"/>
    </row>
    <row r="17" spans="1:18" ht="12.75">
      <c r="A17" s="6">
        <v>3</v>
      </c>
      <c r="B17" s="145">
        <v>6</v>
      </c>
      <c r="C17" s="8" t="str">
        <f t="shared" si="3"/>
        <v>Oyinkan Bello</v>
      </c>
      <c r="D17" s="8" t="str">
        <f t="shared" si="4"/>
        <v>RDG</v>
      </c>
      <c r="E17" s="148">
        <v>13.7</v>
      </c>
      <c r="F17" s="42" t="s">
        <v>123</v>
      </c>
      <c r="H17" s="315">
        <f t="shared" si="5"/>
      </c>
      <c r="J17" s="12"/>
      <c r="K17" s="158"/>
      <c r="L17" s="10"/>
      <c r="M17" s="8"/>
      <c r="N17" s="8"/>
      <c r="O17" s="9"/>
      <c r="R17" s="42"/>
    </row>
    <row r="18" spans="1:18" ht="12.75">
      <c r="A18" s="6">
        <v>4</v>
      </c>
      <c r="B18" s="141">
        <v>3</v>
      </c>
      <c r="C18" s="8" t="str">
        <f t="shared" si="3"/>
        <v>A White</v>
      </c>
      <c r="D18" s="8" t="str">
        <f t="shared" si="4"/>
        <v>WB</v>
      </c>
      <c r="E18" s="148">
        <v>13.9</v>
      </c>
      <c r="F18" s="42"/>
      <c r="H18" s="315">
        <f t="shared" si="5"/>
      </c>
      <c r="J18" s="12"/>
      <c r="K18" s="158"/>
      <c r="L18" s="11"/>
      <c r="M18" s="8"/>
      <c r="N18" s="8"/>
      <c r="O18" s="9"/>
      <c r="R18" s="42"/>
    </row>
    <row r="19" spans="1:18" ht="12.75">
      <c r="A19" s="6">
        <v>5</v>
      </c>
      <c r="B19" s="132">
        <v>1</v>
      </c>
      <c r="C19" s="8" t="str">
        <f t="shared" si="3"/>
        <v>A Carlsson</v>
      </c>
      <c r="D19" s="8" t="str">
        <f t="shared" si="4"/>
        <v>BRK</v>
      </c>
      <c r="E19" s="148">
        <v>14.1</v>
      </c>
      <c r="H19" s="315">
        <f t="shared" si="5"/>
      </c>
      <c r="J19" s="12"/>
      <c r="K19" s="158"/>
      <c r="L19" s="6"/>
      <c r="M19" s="8"/>
      <c r="N19" s="8"/>
      <c r="O19" s="9"/>
      <c r="R19" s="42"/>
    </row>
    <row r="20" spans="1:18" ht="12.75">
      <c r="A20" s="6">
        <v>6</v>
      </c>
      <c r="B20" s="145">
        <v>7</v>
      </c>
      <c r="C20" s="8" t="str">
        <f t="shared" si="3"/>
        <v>Savannah Proctor</v>
      </c>
      <c r="D20" s="8" t="str">
        <f t="shared" si="4"/>
        <v>SL</v>
      </c>
      <c r="E20" s="148">
        <v>14.2</v>
      </c>
      <c r="H20" s="315">
        <f t="shared" si="5"/>
      </c>
      <c r="J20" s="12"/>
      <c r="K20" s="158"/>
      <c r="L20" s="10"/>
      <c r="M20" s="8"/>
      <c r="N20" s="8"/>
      <c r="O20" s="9"/>
      <c r="R20" s="42"/>
    </row>
    <row r="21" spans="1:18" ht="12.75">
      <c r="A21" s="6">
        <v>7</v>
      </c>
      <c r="B21" s="301"/>
      <c r="C21" s="8">
        <f t="shared" si="3"/>
      </c>
      <c r="D21" s="8">
        <f t="shared" si="4"/>
      </c>
      <c r="E21" s="302"/>
      <c r="H21" s="315">
        <f aca="true" t="shared" si="6" ref="H21:H28">IF(E22="","",IF(E22&gt;J$15,"","ESQ"))</f>
      </c>
      <c r="J21" s="12"/>
      <c r="K21" s="158"/>
      <c r="L21" s="10"/>
      <c r="M21" s="8"/>
      <c r="N21" s="8"/>
      <c r="O21" s="9"/>
      <c r="R21" s="42"/>
    </row>
    <row r="22" spans="1:18" ht="12.75">
      <c r="A22" t="s">
        <v>33</v>
      </c>
      <c r="H22" s="315">
        <f t="shared" si="6"/>
      </c>
      <c r="J22" s="12"/>
      <c r="K22" s="158"/>
      <c r="L22" s="10"/>
      <c r="M22" s="8"/>
      <c r="N22" s="8"/>
      <c r="O22" s="9"/>
      <c r="R22" s="42"/>
    </row>
    <row r="23" spans="1:18" ht="12.75">
      <c r="A23" s="1" t="s">
        <v>0</v>
      </c>
      <c r="B23" s="134" t="s">
        <v>1</v>
      </c>
      <c r="C23" s="3" t="s">
        <v>2</v>
      </c>
      <c r="D23" s="4" t="s">
        <v>3</v>
      </c>
      <c r="E23" s="147" t="s">
        <v>4</v>
      </c>
      <c r="F23" s="16" t="s">
        <v>114</v>
      </c>
      <c r="G23" s="42">
        <f>IF(E24="","",IF(E24&gt;J14,"","CBP"))</f>
      </c>
      <c r="H23" s="315">
        <f t="shared" si="6"/>
      </c>
      <c r="J23" s="12"/>
      <c r="K23" s="158"/>
      <c r="L23" s="10"/>
      <c r="M23" s="8"/>
      <c r="N23" s="8"/>
      <c r="O23" s="9"/>
      <c r="R23" s="42"/>
    </row>
    <row r="24" spans="1:18" ht="12.75">
      <c r="A24" s="6">
        <v>1</v>
      </c>
      <c r="B24" s="138">
        <v>5</v>
      </c>
      <c r="C24" s="8" t="str">
        <f aca="true" t="shared" si="7" ref="C24:C30">IF(OR($B24=0,$B24=""),"",VLOOKUP($B24,ig100m,2,FALSE))</f>
        <v>Georgia Kent</v>
      </c>
      <c r="D24" s="8" t="str">
        <f aca="true" t="shared" si="8" ref="D24:D30">IF(OR($B24=0,$B24=""),"",VLOOKUP($B24,ig100m,3,FALSE))</f>
        <v>RDG</v>
      </c>
      <c r="E24" s="148">
        <v>13.3</v>
      </c>
      <c r="F24" s="42" t="s">
        <v>123</v>
      </c>
      <c r="H24" s="315">
        <f t="shared" si="6"/>
      </c>
      <c r="J24" s="12"/>
      <c r="K24" s="158"/>
      <c r="L24" s="10"/>
      <c r="M24" s="8"/>
      <c r="N24" s="8"/>
      <c r="O24" s="9"/>
      <c r="R24" s="42"/>
    </row>
    <row r="25" spans="1:18" ht="12.75">
      <c r="A25" s="6">
        <v>2</v>
      </c>
      <c r="B25" s="138">
        <v>12</v>
      </c>
      <c r="C25" s="8" t="str">
        <f t="shared" si="7"/>
        <v>N Duker</v>
      </c>
      <c r="D25" s="8" t="str">
        <f t="shared" si="8"/>
        <v>WOK</v>
      </c>
      <c r="E25" s="148">
        <v>13.5</v>
      </c>
      <c r="F25" s="42" t="s">
        <v>123</v>
      </c>
      <c r="H25" s="315">
        <f t="shared" si="6"/>
      </c>
      <c r="J25" s="12"/>
      <c r="K25" s="158"/>
      <c r="L25" s="10"/>
      <c r="M25" s="8"/>
      <c r="N25" s="8"/>
      <c r="O25" s="9"/>
      <c r="R25" s="42"/>
    </row>
    <row r="26" spans="1:18" ht="12.75">
      <c r="A26" s="6">
        <v>3</v>
      </c>
      <c r="B26" s="145" t="s">
        <v>927</v>
      </c>
      <c r="C26" s="8" t="str">
        <f t="shared" si="7"/>
        <v>Orla Breslin</v>
      </c>
      <c r="D26" s="8" t="str">
        <f t="shared" si="8"/>
        <v>WOK</v>
      </c>
      <c r="E26" s="148">
        <v>13.7</v>
      </c>
      <c r="F26" s="42" t="s">
        <v>123</v>
      </c>
      <c r="H26" s="315">
        <f t="shared" si="6"/>
      </c>
      <c r="J26" s="12"/>
      <c r="K26" s="158"/>
      <c r="L26" s="10"/>
      <c r="M26" s="8"/>
      <c r="N26" s="8"/>
      <c r="O26" s="9"/>
      <c r="R26" s="42"/>
    </row>
    <row r="27" spans="1:18" ht="12.75">
      <c r="A27" s="6">
        <v>4</v>
      </c>
      <c r="B27" s="141"/>
      <c r="C27" s="8">
        <f t="shared" si="7"/>
      </c>
      <c r="D27" s="8">
        <f t="shared" si="8"/>
      </c>
      <c r="E27" s="148"/>
      <c r="H27" s="315">
        <f t="shared" si="6"/>
      </c>
      <c r="J27" s="12"/>
      <c r="K27" s="158"/>
      <c r="L27" s="10"/>
      <c r="M27" s="8"/>
      <c r="N27" s="8"/>
      <c r="O27" s="9"/>
      <c r="R27" s="42"/>
    </row>
    <row r="28" spans="1:18" ht="12.75">
      <c r="A28" s="6">
        <v>5</v>
      </c>
      <c r="B28" s="132"/>
      <c r="C28" s="8">
        <f t="shared" si="7"/>
      </c>
      <c r="D28" s="8">
        <f t="shared" si="8"/>
      </c>
      <c r="E28" s="148"/>
      <c r="H28" s="315">
        <f t="shared" si="6"/>
      </c>
      <c r="J28" s="12"/>
      <c r="K28" s="158"/>
      <c r="L28" s="10"/>
      <c r="M28" s="8"/>
      <c r="N28" s="8"/>
      <c r="O28" s="9"/>
      <c r="R28" s="42"/>
    </row>
    <row r="29" spans="1:5" ht="12.75">
      <c r="A29" s="6">
        <v>6</v>
      </c>
      <c r="B29" s="145"/>
      <c r="C29" s="8">
        <f t="shared" si="7"/>
      </c>
      <c r="D29" s="8">
        <f t="shared" si="8"/>
      </c>
      <c r="E29" s="148"/>
    </row>
    <row r="30" spans="1:10" ht="12.75">
      <c r="A30" s="6">
        <v>7</v>
      </c>
      <c r="B30" s="301"/>
      <c r="C30" s="8">
        <f t="shared" si="7"/>
      </c>
      <c r="D30" s="8">
        <f t="shared" si="8"/>
      </c>
      <c r="E30" s="302"/>
      <c r="F30" s="14"/>
      <c r="G30" s="51"/>
      <c r="H30" s="314"/>
      <c r="I30" s="14"/>
      <c r="J30" s="14"/>
    </row>
    <row r="31" ht="12.75">
      <c r="A31" s="14" t="s">
        <v>39</v>
      </c>
    </row>
    <row r="32" spans="1:11" ht="12.75">
      <c r="A32" s="1" t="s">
        <v>0</v>
      </c>
      <c r="B32" s="134" t="s">
        <v>1</v>
      </c>
      <c r="C32" s="3" t="s">
        <v>2</v>
      </c>
      <c r="D32" s="4" t="s">
        <v>3</v>
      </c>
      <c r="E32" s="147" t="s">
        <v>4</v>
      </c>
      <c r="F32" s="16" t="s">
        <v>24</v>
      </c>
      <c r="I32" t="s">
        <v>6</v>
      </c>
      <c r="J32" s="49">
        <v>0.0015347222222222223</v>
      </c>
      <c r="K32" s="161" t="s">
        <v>223</v>
      </c>
    </row>
    <row r="33" spans="1:10" ht="12.75">
      <c r="A33" s="6">
        <v>1</v>
      </c>
      <c r="B33" s="138">
        <v>10</v>
      </c>
      <c r="C33" s="8" t="str">
        <f aca="true" t="shared" si="9" ref="C33:C44">IF(OR($B33=0,$B33=""),"",VLOOKUP($B33,ig800m,2,FALSE))</f>
        <v>Robyn Watkins</v>
      </c>
      <c r="D33" s="8" t="str">
        <f aca="true" t="shared" si="10" ref="D33:D44">IF(OR($B33=0,$B33=""),"",VLOOKUP($B33,ig800m,3,FALSE))</f>
        <v>W&amp;M</v>
      </c>
      <c r="E33" s="149">
        <v>0.0015775462962962963</v>
      </c>
      <c r="F33">
        <v>6</v>
      </c>
      <c r="G33" s="42">
        <f>IF(E33="","",IF(E33&gt;J32,"","CBP"))</f>
      </c>
      <c r="H33" s="315">
        <f aca="true" t="shared" si="11" ref="H33:H43">IF(E33="","",IF(E33&gt;J$33,"","ESQ"))</f>
      </c>
      <c r="I33" t="s">
        <v>26</v>
      </c>
      <c r="J33" s="49">
        <v>0.001574074074074074</v>
      </c>
    </row>
    <row r="34" spans="1:10" ht="12.75">
      <c r="A34" s="6">
        <v>2</v>
      </c>
      <c r="B34" s="138">
        <v>2</v>
      </c>
      <c r="C34" s="8" t="str">
        <f t="shared" si="9"/>
        <v>Suzie Liversedge</v>
      </c>
      <c r="D34" s="8" t="str">
        <f t="shared" si="10"/>
        <v>BRk</v>
      </c>
      <c r="E34" s="149">
        <v>0.0015856481481481479</v>
      </c>
      <c r="F34">
        <v>5</v>
      </c>
      <c r="H34" s="315">
        <f t="shared" si="11"/>
      </c>
      <c r="J34" s="12"/>
    </row>
    <row r="35" spans="1:10" ht="12.75">
      <c r="A35" s="6">
        <v>3</v>
      </c>
      <c r="B35" s="138">
        <v>1</v>
      </c>
      <c r="C35" s="8" t="str">
        <f t="shared" si="9"/>
        <v>E Griffin</v>
      </c>
      <c r="D35" s="8" t="str">
        <f t="shared" si="10"/>
        <v>BRK</v>
      </c>
      <c r="E35" s="149">
        <v>0.0015949074074074075</v>
      </c>
      <c r="F35">
        <v>4</v>
      </c>
      <c r="H35" s="315">
        <f t="shared" si="11"/>
      </c>
      <c r="J35" s="12"/>
    </row>
    <row r="36" spans="1:10" ht="12.75">
      <c r="A36" s="6">
        <v>4</v>
      </c>
      <c r="B36" s="138" t="s">
        <v>1397</v>
      </c>
      <c r="C36" s="8" t="str">
        <f t="shared" si="9"/>
        <v>Ja Nightingale</v>
      </c>
      <c r="D36" s="8" t="str">
        <f t="shared" si="10"/>
        <v>BRK</v>
      </c>
      <c r="E36" s="149">
        <v>0.0016261574074074075</v>
      </c>
      <c r="F36">
        <v>3</v>
      </c>
      <c r="H36" s="315">
        <f t="shared" si="11"/>
      </c>
      <c r="J36" s="12"/>
    </row>
    <row r="37" spans="1:10" ht="12.75">
      <c r="A37" s="6">
        <v>5</v>
      </c>
      <c r="B37" s="138">
        <v>9</v>
      </c>
      <c r="C37" s="8" t="str">
        <f t="shared" si="9"/>
        <v>Kaya Sittampalam-Main</v>
      </c>
      <c r="D37" s="8" t="str">
        <f t="shared" si="10"/>
        <v>W&amp;M</v>
      </c>
      <c r="E37" s="149">
        <v>0.0016458333333333333</v>
      </c>
      <c r="F37">
        <v>2</v>
      </c>
      <c r="H37" s="315">
        <f t="shared" si="11"/>
      </c>
      <c r="J37" s="12"/>
    </row>
    <row r="38" spans="1:10" ht="12.75">
      <c r="A38" s="6">
        <v>6</v>
      </c>
      <c r="B38" s="138">
        <v>3</v>
      </c>
      <c r="C38" s="8" t="str">
        <f t="shared" si="9"/>
        <v>M Brown</v>
      </c>
      <c r="D38" s="8" t="str">
        <f t="shared" si="10"/>
        <v>WB</v>
      </c>
      <c r="E38" s="149">
        <v>0.0016701388888888892</v>
      </c>
      <c r="F38">
        <v>1</v>
      </c>
      <c r="H38" s="315">
        <f t="shared" si="11"/>
      </c>
      <c r="J38" s="12"/>
    </row>
    <row r="39" spans="1:8" ht="12.75">
      <c r="A39" s="6">
        <v>7</v>
      </c>
      <c r="B39" s="138">
        <v>11</v>
      </c>
      <c r="C39" s="8" t="str">
        <f t="shared" si="9"/>
        <v>C Rice</v>
      </c>
      <c r="D39" s="8" t="str">
        <f t="shared" si="10"/>
        <v>WOK</v>
      </c>
      <c r="E39" s="149">
        <v>0.001744212962962963</v>
      </c>
      <c r="H39" s="315">
        <f t="shared" si="11"/>
      </c>
    </row>
    <row r="40" spans="1:8" ht="12.75">
      <c r="A40" s="6">
        <v>8</v>
      </c>
      <c r="B40" s="138">
        <v>4</v>
      </c>
      <c r="C40" s="8" t="str">
        <f t="shared" si="9"/>
        <v>A Downie</v>
      </c>
      <c r="D40" s="8" t="str">
        <f t="shared" si="10"/>
        <v>WB</v>
      </c>
      <c r="E40" s="149">
        <v>0.0017939814814814815</v>
      </c>
      <c r="H40" s="315">
        <f t="shared" si="11"/>
      </c>
    </row>
    <row r="41" spans="1:8" ht="12.75">
      <c r="A41" s="6">
        <v>9</v>
      </c>
      <c r="B41" s="138">
        <v>12</v>
      </c>
      <c r="C41" s="8" t="str">
        <f t="shared" si="9"/>
        <v>S Charles</v>
      </c>
      <c r="D41" s="8" t="str">
        <f t="shared" si="10"/>
        <v>WOK</v>
      </c>
      <c r="E41" s="149">
        <v>0.0019027777777777778</v>
      </c>
      <c r="H41" s="315">
        <f t="shared" si="11"/>
      </c>
    </row>
    <row r="42" spans="1:8" ht="12.75">
      <c r="A42" s="6">
        <v>10</v>
      </c>
      <c r="B42" s="138"/>
      <c r="C42" s="8">
        <f t="shared" si="9"/>
      </c>
      <c r="D42" s="8">
        <f t="shared" si="10"/>
      </c>
      <c r="E42" s="149"/>
      <c r="H42" s="315">
        <f t="shared" si="11"/>
      </c>
    </row>
    <row r="43" spans="1:8" ht="12.75">
      <c r="A43" s="6">
        <v>11</v>
      </c>
      <c r="B43" s="138"/>
      <c r="C43" s="8">
        <f t="shared" si="9"/>
      </c>
      <c r="D43" s="8">
        <f t="shared" si="10"/>
      </c>
      <c r="E43" s="149"/>
      <c r="H43" s="315">
        <f t="shared" si="11"/>
      </c>
    </row>
    <row r="44" spans="1:5" ht="12.75">
      <c r="A44" s="6">
        <v>12</v>
      </c>
      <c r="C44" s="8">
        <f t="shared" si="9"/>
      </c>
      <c r="D44" s="8">
        <f t="shared" si="10"/>
      </c>
      <c r="E44" s="150"/>
    </row>
    <row r="46" spans="1:18" s="14" customFormat="1" ht="12.75">
      <c r="A46" s="14" t="s">
        <v>40</v>
      </c>
      <c r="B46" s="143"/>
      <c r="E46" s="143"/>
      <c r="G46" s="51"/>
      <c r="H46" s="314"/>
      <c r="K46" s="160"/>
      <c r="Q46" s="51"/>
      <c r="R46" s="51"/>
    </row>
    <row r="47" ht="12.75">
      <c r="A47" t="s">
        <v>32</v>
      </c>
    </row>
    <row r="48" spans="1:16" ht="12.75">
      <c r="A48" s="1" t="s">
        <v>0</v>
      </c>
      <c r="B48" s="134" t="s">
        <v>1</v>
      </c>
      <c r="C48" s="3" t="s">
        <v>2</v>
      </c>
      <c r="D48" s="4" t="s">
        <v>3</v>
      </c>
      <c r="E48" s="147" t="s">
        <v>4</v>
      </c>
      <c r="F48" s="16" t="s">
        <v>114</v>
      </c>
      <c r="I48" t="s">
        <v>6</v>
      </c>
      <c r="J48" s="12">
        <v>11.5</v>
      </c>
      <c r="K48" s="158"/>
      <c r="L48" s="2"/>
      <c r="M48" s="3"/>
      <c r="N48" s="4"/>
      <c r="O48" s="5"/>
      <c r="P48" s="16"/>
    </row>
    <row r="49" spans="1:18" ht="12.75">
      <c r="A49" s="6">
        <v>1</v>
      </c>
      <c r="B49" s="138"/>
      <c r="C49" s="8">
        <f aca="true" t="shared" si="12" ref="C49:C54">IF(OR($B49=0,$B49=""),"",VLOOKUP($B49,ig80mh,2,FALSE))</f>
      </c>
      <c r="D49" s="8">
        <f aca="true" t="shared" si="13" ref="D49:D54">IF(OR($B49=0,$B49=""),"",VLOOKUP($B49,ig80mh,3,FALSE))</f>
      </c>
      <c r="E49" s="148"/>
      <c r="G49" s="42">
        <f>IF(E49="","",IF(E49&gt;J48,"","CBP"))</f>
      </c>
      <c r="H49" s="315">
        <f aca="true" t="shared" si="14" ref="H49:H62">IF(E49="","",IF(E49&gt;J$49,"","ESQ"))</f>
      </c>
      <c r="I49" t="s">
        <v>26</v>
      </c>
      <c r="J49" s="12">
        <v>12.1</v>
      </c>
      <c r="K49" s="158"/>
      <c r="L49" s="7"/>
      <c r="M49" s="8"/>
      <c r="N49" s="8"/>
      <c r="O49" s="9"/>
      <c r="Q49" s="42"/>
      <c r="R49" s="42"/>
    </row>
    <row r="50" spans="1:18" ht="12.75">
      <c r="A50" s="6">
        <v>2</v>
      </c>
      <c r="B50" s="138"/>
      <c r="C50" s="8">
        <f t="shared" si="12"/>
      </c>
      <c r="D50" s="8">
        <f t="shared" si="13"/>
      </c>
      <c r="E50" s="148"/>
      <c r="H50" s="315">
        <f t="shared" si="14"/>
      </c>
      <c r="J50" s="12"/>
      <c r="K50" s="158"/>
      <c r="L50" s="7"/>
      <c r="M50" s="8"/>
      <c r="N50" s="8"/>
      <c r="O50" s="9"/>
      <c r="R50" s="42"/>
    </row>
    <row r="51" spans="1:18" ht="12.75">
      <c r="A51" s="6">
        <v>3</v>
      </c>
      <c r="B51" s="145"/>
      <c r="C51" s="8">
        <f t="shared" si="12"/>
      </c>
      <c r="D51" s="8">
        <f t="shared" si="13"/>
      </c>
      <c r="E51" s="148"/>
      <c r="H51" s="315">
        <f t="shared" si="14"/>
      </c>
      <c r="J51" s="12"/>
      <c r="K51" s="158"/>
      <c r="L51" s="10"/>
      <c r="M51" s="8"/>
      <c r="N51" s="8"/>
      <c r="O51" s="9"/>
      <c r="R51" s="42"/>
    </row>
    <row r="52" spans="1:18" ht="12.75">
      <c r="A52" s="6">
        <v>4</v>
      </c>
      <c r="B52" s="141"/>
      <c r="C52" s="8">
        <f t="shared" si="12"/>
      </c>
      <c r="D52" s="8">
        <f t="shared" si="13"/>
      </c>
      <c r="E52" s="148"/>
      <c r="H52" s="315">
        <f t="shared" si="14"/>
      </c>
      <c r="J52" s="12"/>
      <c r="K52" s="158"/>
      <c r="L52" s="11"/>
      <c r="M52" s="8"/>
      <c r="N52" s="8"/>
      <c r="O52" s="9"/>
      <c r="R52" s="42"/>
    </row>
    <row r="53" spans="1:18" ht="12.75">
      <c r="A53" s="6">
        <v>5</v>
      </c>
      <c r="B53" s="132"/>
      <c r="C53" s="8">
        <f t="shared" si="12"/>
      </c>
      <c r="D53" s="8">
        <f t="shared" si="13"/>
      </c>
      <c r="E53" s="148"/>
      <c r="H53" s="315">
        <f t="shared" si="14"/>
      </c>
      <c r="J53" s="12"/>
      <c r="K53" s="158"/>
      <c r="L53" s="6"/>
      <c r="M53" s="8"/>
      <c r="N53" s="8"/>
      <c r="O53" s="9"/>
      <c r="R53" s="42"/>
    </row>
    <row r="54" spans="1:18" ht="12.75">
      <c r="A54" s="6">
        <v>6</v>
      </c>
      <c r="B54" s="145"/>
      <c r="C54" s="8">
        <f t="shared" si="12"/>
      </c>
      <c r="D54" s="8">
        <f t="shared" si="13"/>
      </c>
      <c r="E54" s="148"/>
      <c r="H54" s="315">
        <f t="shared" si="14"/>
      </c>
      <c r="J54" s="12"/>
      <c r="K54" s="158"/>
      <c r="L54" s="10"/>
      <c r="M54" s="8"/>
      <c r="N54" s="8"/>
      <c r="O54" s="9"/>
      <c r="R54" s="42"/>
    </row>
    <row r="55" spans="1:18" ht="12.75">
      <c r="A55" t="s">
        <v>33</v>
      </c>
      <c r="H55" s="315">
        <f t="shared" si="14"/>
      </c>
      <c r="J55" s="12"/>
      <c r="K55" s="158"/>
      <c r="L55" s="10"/>
      <c r="M55" s="8"/>
      <c r="N55" s="8"/>
      <c r="O55" s="9"/>
      <c r="R55" s="42"/>
    </row>
    <row r="56" spans="1:18" ht="12.75">
      <c r="A56" s="1" t="s">
        <v>0</v>
      </c>
      <c r="B56" s="134" t="s">
        <v>1</v>
      </c>
      <c r="C56" s="3" t="s">
        <v>2</v>
      </c>
      <c r="D56" s="4" t="s">
        <v>3</v>
      </c>
      <c r="E56" s="147" t="s">
        <v>4</v>
      </c>
      <c r="F56" s="16" t="s">
        <v>114</v>
      </c>
      <c r="H56" s="315">
        <f t="shared" si="14"/>
      </c>
      <c r="J56" s="12"/>
      <c r="K56" s="158"/>
      <c r="L56" s="10"/>
      <c r="M56" s="8"/>
      <c r="N56" s="8"/>
      <c r="O56" s="9"/>
      <c r="R56" s="42"/>
    </row>
    <row r="57" spans="1:18" ht="12.75">
      <c r="A57" s="6">
        <v>1</v>
      </c>
      <c r="B57" s="138"/>
      <c r="C57" s="8">
        <f aca="true" t="shared" si="15" ref="C57:C62">IF(OR($B57=0,$B57=""),"",VLOOKUP($B57,ig80mh,2,FALSE))</f>
      </c>
      <c r="D57" s="8">
        <f aca="true" t="shared" si="16" ref="D57:D62">IF(OR($B57=0,$B57=""),"",VLOOKUP($B57,ig80mh,3,FALSE))</f>
      </c>
      <c r="E57" s="148"/>
      <c r="G57" s="42">
        <f>IF(E57="","",IF(E57&gt;J48,"","CBP"))</f>
      </c>
      <c r="H57" s="315">
        <f t="shared" si="14"/>
      </c>
      <c r="J57" s="12"/>
      <c r="K57" s="158"/>
      <c r="L57" s="10"/>
      <c r="M57" s="8"/>
      <c r="N57" s="8"/>
      <c r="O57" s="9"/>
      <c r="R57" s="42"/>
    </row>
    <row r="58" spans="1:18" ht="12.75">
      <c r="A58" s="6">
        <v>2</v>
      </c>
      <c r="B58" s="138"/>
      <c r="C58" s="8">
        <f t="shared" si="15"/>
      </c>
      <c r="D58" s="8">
        <f t="shared" si="16"/>
      </c>
      <c r="E58" s="148"/>
      <c r="H58" s="315">
        <f t="shared" si="14"/>
      </c>
      <c r="J58" s="12"/>
      <c r="K58" s="158"/>
      <c r="L58" s="10"/>
      <c r="M58" s="8"/>
      <c r="N58" s="8"/>
      <c r="O58" s="9"/>
      <c r="R58" s="42"/>
    </row>
    <row r="59" spans="1:18" ht="12.75">
      <c r="A59" s="6">
        <v>3</v>
      </c>
      <c r="B59" s="145"/>
      <c r="C59" s="8">
        <f t="shared" si="15"/>
      </c>
      <c r="D59" s="8">
        <f t="shared" si="16"/>
      </c>
      <c r="E59" s="148"/>
      <c r="H59" s="315">
        <f t="shared" si="14"/>
      </c>
      <c r="J59" s="12"/>
      <c r="K59" s="158"/>
      <c r="L59" s="10"/>
      <c r="M59" s="8"/>
      <c r="N59" s="8"/>
      <c r="O59" s="9"/>
      <c r="R59" s="42"/>
    </row>
    <row r="60" spans="1:18" ht="12.75">
      <c r="A60" s="6">
        <v>4</v>
      </c>
      <c r="B60" s="141"/>
      <c r="C60" s="8">
        <f t="shared" si="15"/>
      </c>
      <c r="D60" s="8">
        <f t="shared" si="16"/>
      </c>
      <c r="E60" s="148"/>
      <c r="H60" s="315">
        <f t="shared" si="14"/>
      </c>
      <c r="J60" s="12"/>
      <c r="K60" s="158"/>
      <c r="L60" s="10"/>
      <c r="M60" s="8"/>
      <c r="N60" s="8"/>
      <c r="O60" s="9"/>
      <c r="R60" s="42"/>
    </row>
    <row r="61" spans="1:18" ht="12.75">
      <c r="A61" s="6">
        <v>5</v>
      </c>
      <c r="B61" s="132"/>
      <c r="C61" s="8">
        <f t="shared" si="15"/>
      </c>
      <c r="D61" s="8">
        <f t="shared" si="16"/>
      </c>
      <c r="E61" s="148"/>
      <c r="H61" s="315">
        <f t="shared" si="14"/>
      </c>
      <c r="J61" s="12"/>
      <c r="K61" s="158"/>
      <c r="L61" s="10"/>
      <c r="M61" s="8"/>
      <c r="N61" s="8"/>
      <c r="O61" s="9"/>
      <c r="R61" s="42"/>
    </row>
    <row r="62" spans="1:18" ht="12.75">
      <c r="A62" s="6">
        <v>6</v>
      </c>
      <c r="B62" s="145"/>
      <c r="C62" s="8">
        <f t="shared" si="15"/>
      </c>
      <c r="D62" s="8">
        <f t="shared" si="16"/>
      </c>
      <c r="E62" s="148"/>
      <c r="H62" s="315">
        <f t="shared" si="14"/>
      </c>
      <c r="J62" s="12"/>
      <c r="K62" s="158"/>
      <c r="L62" s="10"/>
      <c r="M62" s="8"/>
      <c r="N62" s="8"/>
      <c r="O62" s="9"/>
      <c r="R62" s="42"/>
    </row>
    <row r="63" ht="12.75">
      <c r="H63" s="315">
        <f>IF(E63="","",IF(E63&gt;J55,"","ESQ"))</f>
      </c>
    </row>
    <row r="64" spans="1:18" s="14" customFormat="1" ht="12.75">
      <c r="A64" s="14" t="s">
        <v>136</v>
      </c>
      <c r="B64" s="143"/>
      <c r="E64" s="143"/>
      <c r="G64" s="51"/>
      <c r="H64" s="314"/>
      <c r="K64" s="160"/>
      <c r="Q64" s="51"/>
      <c r="R64" s="51"/>
    </row>
    <row r="65" ht="12.75">
      <c r="A65" t="s">
        <v>32</v>
      </c>
    </row>
    <row r="66" spans="1:16" ht="12.75">
      <c r="A66" s="1" t="s">
        <v>0</v>
      </c>
      <c r="B66" s="134" t="s">
        <v>1</v>
      </c>
      <c r="C66" s="3" t="s">
        <v>2</v>
      </c>
      <c r="D66" s="4" t="s">
        <v>3</v>
      </c>
      <c r="E66" s="147" t="s">
        <v>4</v>
      </c>
      <c r="F66" s="16" t="s">
        <v>114</v>
      </c>
      <c r="I66" t="s">
        <v>6</v>
      </c>
      <c r="J66" s="12">
        <v>39.2</v>
      </c>
      <c r="K66" s="158" t="s">
        <v>233</v>
      </c>
      <c r="L66" s="2"/>
      <c r="M66" s="3"/>
      <c r="N66" s="4"/>
      <c r="O66" s="5"/>
      <c r="P66" s="16"/>
    </row>
    <row r="67" spans="1:18" ht="12.75">
      <c r="A67" s="6">
        <v>1</v>
      </c>
      <c r="B67" s="138">
        <v>11</v>
      </c>
      <c r="C67" s="8" t="str">
        <f aca="true" t="shared" si="17" ref="C67:C72">IF(OR($B67=0,$B67=""),"",VLOOKUP($B67,ig300m,2,FALSE))</f>
        <v>N Bennett</v>
      </c>
      <c r="D67" s="8" t="str">
        <f aca="true" t="shared" si="18" ref="D67:D72">IF(OR($B67=0,$B67=""),"",VLOOKUP($B67,ig300m,3,FALSE))</f>
        <v>WOK</v>
      </c>
      <c r="E67" s="148">
        <v>42.7</v>
      </c>
      <c r="F67" s="42" t="s">
        <v>123</v>
      </c>
      <c r="G67" s="42">
        <f>IF(E67="","",IF(E67&gt;J66,"","CBP"))</f>
      </c>
      <c r="H67" s="315">
        <f aca="true" t="shared" si="19" ref="H67:H80">IF(E67="","",IF(E67&gt;J$67,"","ESQ"))</f>
      </c>
      <c r="I67" t="s">
        <v>26</v>
      </c>
      <c r="J67" s="12">
        <v>41.4</v>
      </c>
      <c r="K67" s="158"/>
      <c r="L67" s="7"/>
      <c r="M67" s="8"/>
      <c r="N67" s="8"/>
      <c r="O67" s="9"/>
      <c r="Q67" s="42"/>
      <c r="R67" s="42"/>
    </row>
    <row r="68" spans="1:18" ht="12.75">
      <c r="A68" s="6">
        <v>2</v>
      </c>
      <c r="B68" s="138">
        <v>1</v>
      </c>
      <c r="C68" s="8" t="str">
        <f t="shared" si="17"/>
        <v>C Johnson</v>
      </c>
      <c r="D68" s="8" t="str">
        <f t="shared" si="18"/>
        <v>BRK</v>
      </c>
      <c r="E68" s="148">
        <v>43.5</v>
      </c>
      <c r="F68" s="42" t="s">
        <v>123</v>
      </c>
      <c r="H68" s="315">
        <f t="shared" si="19"/>
      </c>
      <c r="J68" s="12"/>
      <c r="K68" s="158"/>
      <c r="L68" s="7"/>
      <c r="M68" s="8"/>
      <c r="N68" s="8"/>
      <c r="O68" s="9"/>
      <c r="R68" s="42"/>
    </row>
    <row r="69" spans="1:18" ht="12.75">
      <c r="A69" s="6">
        <v>3</v>
      </c>
      <c r="B69" s="145">
        <v>9</v>
      </c>
      <c r="C69" s="8" t="str">
        <f t="shared" si="17"/>
        <v>Lottie Ambridge</v>
      </c>
      <c r="D69" s="8" t="str">
        <f t="shared" si="18"/>
        <v>W&amp;M</v>
      </c>
      <c r="E69" s="148">
        <v>44</v>
      </c>
      <c r="F69" s="42" t="s">
        <v>123</v>
      </c>
      <c r="H69" s="315">
        <f t="shared" si="19"/>
      </c>
      <c r="J69" s="12"/>
      <c r="K69" s="158"/>
      <c r="L69" s="10"/>
      <c r="M69" s="8"/>
      <c r="N69" s="8"/>
      <c r="O69" s="9"/>
      <c r="R69" s="42"/>
    </row>
    <row r="70" spans="1:18" ht="12.75">
      <c r="A70" s="6">
        <v>4</v>
      </c>
      <c r="B70" s="141">
        <v>6</v>
      </c>
      <c r="C70" s="8" t="str">
        <f t="shared" si="17"/>
        <v>Maisie Pennant</v>
      </c>
      <c r="D70" s="8" t="str">
        <f t="shared" si="18"/>
        <v>RDG</v>
      </c>
      <c r="E70" s="148">
        <v>44.3</v>
      </c>
      <c r="F70" s="42" t="s">
        <v>123</v>
      </c>
      <c r="H70" s="315">
        <f t="shared" si="19"/>
      </c>
      <c r="J70" s="12"/>
      <c r="K70" s="158"/>
      <c r="L70" s="11"/>
      <c r="M70" s="8"/>
      <c r="N70" s="8"/>
      <c r="O70" s="9"/>
      <c r="R70" s="42"/>
    </row>
    <row r="71" spans="1:18" ht="12.75">
      <c r="A71" s="6">
        <v>5</v>
      </c>
      <c r="B71" s="132">
        <v>3</v>
      </c>
      <c r="C71" s="8" t="str">
        <f t="shared" si="17"/>
        <v>A James</v>
      </c>
      <c r="D71" s="8" t="str">
        <f t="shared" si="18"/>
        <v>WB</v>
      </c>
      <c r="E71" s="148">
        <v>45.9</v>
      </c>
      <c r="H71" s="315">
        <f t="shared" si="19"/>
      </c>
      <c r="J71" s="12"/>
      <c r="K71" s="158"/>
      <c r="L71" s="6"/>
      <c r="M71" s="8"/>
      <c r="N71" s="8"/>
      <c r="O71" s="9"/>
      <c r="R71" s="42"/>
    </row>
    <row r="72" spans="1:18" ht="12.75">
      <c r="A72" s="6">
        <v>6</v>
      </c>
      <c r="B72" s="145"/>
      <c r="C72" s="8">
        <f t="shared" si="17"/>
      </c>
      <c r="D72" s="8">
        <f t="shared" si="18"/>
      </c>
      <c r="E72" s="148"/>
      <c r="H72" s="315">
        <f t="shared" si="19"/>
      </c>
      <c r="J72" s="12"/>
      <c r="K72" s="158"/>
      <c r="L72" s="10"/>
      <c r="M72" s="8"/>
      <c r="N72" s="8"/>
      <c r="O72" s="9"/>
      <c r="R72" s="42"/>
    </row>
    <row r="73" spans="1:18" ht="12.75">
      <c r="A73" t="s">
        <v>33</v>
      </c>
      <c r="H73" s="315">
        <f t="shared" si="19"/>
      </c>
      <c r="J73" s="12"/>
      <c r="K73" s="158"/>
      <c r="L73" s="10"/>
      <c r="M73" s="8"/>
      <c r="N73" s="8"/>
      <c r="O73" s="9"/>
      <c r="R73" s="42"/>
    </row>
    <row r="74" spans="1:18" ht="12.75">
      <c r="A74" s="1" t="s">
        <v>0</v>
      </c>
      <c r="B74" s="134" t="s">
        <v>1</v>
      </c>
      <c r="C74" s="3" t="s">
        <v>2</v>
      </c>
      <c r="D74" s="4" t="s">
        <v>3</v>
      </c>
      <c r="E74" s="147" t="s">
        <v>4</v>
      </c>
      <c r="F74" s="16" t="s">
        <v>114</v>
      </c>
      <c r="H74" s="315">
        <f t="shared" si="19"/>
      </c>
      <c r="J74" s="12"/>
      <c r="K74" s="158"/>
      <c r="L74" s="10"/>
      <c r="M74" s="8"/>
      <c r="N74" s="8"/>
      <c r="O74" s="9"/>
      <c r="R74" s="42"/>
    </row>
    <row r="75" spans="1:18" ht="12.75">
      <c r="A75" s="6">
        <v>1</v>
      </c>
      <c r="B75" s="138">
        <v>12</v>
      </c>
      <c r="C75" s="8" t="str">
        <f aca="true" t="shared" si="20" ref="C75:C80">IF(OR($B75=0,$B75=""),"",VLOOKUP($B75,ig300m,2,FALSE))</f>
        <v>C McCafferty</v>
      </c>
      <c r="D75" s="8" t="str">
        <f aca="true" t="shared" si="21" ref="D75:D80">IF(OR($B75=0,$B75=""),"",VLOOKUP($B75,ig300m,3,FALSE))</f>
        <v>WOK</v>
      </c>
      <c r="E75" s="148">
        <v>42.6</v>
      </c>
      <c r="F75" s="42" t="s">
        <v>123</v>
      </c>
      <c r="G75" s="42">
        <f>IF(E75="","",IF(E75&gt;J66,"","CBP"))</f>
      </c>
      <c r="H75" s="315">
        <f t="shared" si="19"/>
      </c>
      <c r="J75" s="12"/>
      <c r="K75" s="158"/>
      <c r="L75" s="10"/>
      <c r="M75" s="8"/>
      <c r="N75" s="8"/>
      <c r="O75" s="9"/>
      <c r="R75" s="42"/>
    </row>
    <row r="76" spans="1:18" ht="12.75">
      <c r="A76" s="6">
        <v>2</v>
      </c>
      <c r="B76" s="138">
        <v>5</v>
      </c>
      <c r="C76" s="8" t="str">
        <f t="shared" si="20"/>
        <v>Emmanuella Young</v>
      </c>
      <c r="D76" s="8" t="str">
        <f t="shared" si="21"/>
        <v>RDG</v>
      </c>
      <c r="E76" s="148">
        <v>42.9</v>
      </c>
      <c r="F76" s="42" t="s">
        <v>123</v>
      </c>
      <c r="H76" s="315">
        <f t="shared" si="19"/>
      </c>
      <c r="J76" s="12"/>
      <c r="K76" s="158"/>
      <c r="L76" s="10"/>
      <c r="M76" s="8"/>
      <c r="N76" s="8"/>
      <c r="O76" s="9"/>
      <c r="R76" s="42"/>
    </row>
    <row r="77" spans="1:18" ht="12.75">
      <c r="A77" s="6">
        <v>3</v>
      </c>
      <c r="B77" s="145">
        <v>2</v>
      </c>
      <c r="C77" s="8" t="str">
        <f t="shared" si="20"/>
        <v>Je Nightingale</v>
      </c>
      <c r="D77" s="8" t="str">
        <f t="shared" si="21"/>
        <v>BRK</v>
      </c>
      <c r="E77" s="148">
        <v>45.9</v>
      </c>
      <c r="F77" s="42"/>
      <c r="H77" s="315">
        <f t="shared" si="19"/>
      </c>
      <c r="J77" s="12"/>
      <c r="K77" s="158"/>
      <c r="L77" s="10"/>
      <c r="M77" s="8"/>
      <c r="N77" s="8"/>
      <c r="O77" s="9"/>
      <c r="R77" s="42"/>
    </row>
    <row r="78" spans="1:18" ht="12.75">
      <c r="A78" s="6">
        <v>4</v>
      </c>
      <c r="B78" s="141">
        <v>10</v>
      </c>
      <c r="C78" s="8" t="str">
        <f t="shared" si="20"/>
        <v>Natasha Goldsworthy</v>
      </c>
      <c r="D78" s="8" t="str">
        <f t="shared" si="21"/>
        <v>W&amp;M</v>
      </c>
      <c r="E78" s="148">
        <v>47</v>
      </c>
      <c r="H78" s="315">
        <f t="shared" si="19"/>
      </c>
      <c r="J78" s="12"/>
      <c r="K78" s="158"/>
      <c r="L78" s="10"/>
      <c r="M78" s="8"/>
      <c r="N78" s="8"/>
      <c r="O78" s="9"/>
      <c r="R78" s="42"/>
    </row>
    <row r="79" spans="1:18" ht="12.75">
      <c r="A79" s="6">
        <v>5</v>
      </c>
      <c r="B79" s="132"/>
      <c r="C79" s="8">
        <f t="shared" si="20"/>
      </c>
      <c r="D79" s="8">
        <f t="shared" si="21"/>
      </c>
      <c r="E79" s="148"/>
      <c r="H79" s="315">
        <f t="shared" si="19"/>
      </c>
      <c r="J79" s="12"/>
      <c r="K79" s="158"/>
      <c r="L79" s="10"/>
      <c r="M79" s="8"/>
      <c r="N79" s="8"/>
      <c r="O79" s="9"/>
      <c r="R79" s="42"/>
    </row>
    <row r="80" spans="1:18" ht="12.75">
      <c r="A80" s="6">
        <v>6</v>
      </c>
      <c r="B80" s="145"/>
      <c r="C80" s="8">
        <f t="shared" si="20"/>
      </c>
      <c r="D80" s="8">
        <f t="shared" si="21"/>
      </c>
      <c r="E80" s="148"/>
      <c r="H80" s="315">
        <f t="shared" si="19"/>
      </c>
      <c r="J80" s="12"/>
      <c r="K80" s="158"/>
      <c r="L80" s="10"/>
      <c r="M80" s="8"/>
      <c r="N80" s="8"/>
      <c r="O80" s="9"/>
      <c r="R80" s="42"/>
    </row>
    <row r="83" spans="1:10" ht="12.75">
      <c r="A83" s="14" t="s">
        <v>42</v>
      </c>
      <c r="B83" s="143"/>
      <c r="C83" s="14"/>
      <c r="D83" s="14"/>
      <c r="E83" s="143"/>
      <c r="F83" s="14"/>
      <c r="G83" s="51"/>
      <c r="H83" s="314"/>
      <c r="I83" s="14"/>
      <c r="J83" s="14"/>
    </row>
    <row r="85" spans="1:11" ht="12.75">
      <c r="A85" s="1" t="s">
        <v>0</v>
      </c>
      <c r="B85" s="134" t="s">
        <v>1</v>
      </c>
      <c r="C85" s="3" t="s">
        <v>2</v>
      </c>
      <c r="D85" s="4" t="s">
        <v>3</v>
      </c>
      <c r="E85" s="147" t="s">
        <v>4</v>
      </c>
      <c r="F85" s="16" t="s">
        <v>24</v>
      </c>
      <c r="I85" t="s">
        <v>6</v>
      </c>
      <c r="J85" s="12">
        <v>12</v>
      </c>
      <c r="K85" s="158" t="s">
        <v>217</v>
      </c>
    </row>
    <row r="86" spans="1:10" ht="12.75">
      <c r="A86" s="6">
        <v>1</v>
      </c>
      <c r="B86" s="138">
        <v>5</v>
      </c>
      <c r="C86" s="8" t="str">
        <f aca="true" t="shared" si="22" ref="C86:C92">IF(OR($B86=0,$B86=""),"",VLOOKUP($B86,ig100m,2,FALSE))</f>
        <v>Georgia Kent</v>
      </c>
      <c r="D86" s="8" t="str">
        <f aca="true" t="shared" si="23" ref="D86:D92">IF(OR($B86=0,$B86=""),"",VLOOKUP($B86,ig100m,3,FALSE))</f>
        <v>RDG</v>
      </c>
      <c r="E86" s="148">
        <v>13</v>
      </c>
      <c r="F86">
        <v>6</v>
      </c>
      <c r="G86" s="42">
        <f>IF(E86="","",IF(E86&gt;J85,"","CBP"))</f>
      </c>
      <c r="H86" s="315">
        <f aca="true" t="shared" si="24" ref="H86:H92">IF(E86="","",IF(E86&gt;J$86,"","ESQ"))</f>
      </c>
      <c r="I86" t="s">
        <v>26</v>
      </c>
      <c r="J86" s="12">
        <v>12.6</v>
      </c>
    </row>
    <row r="87" spans="1:10" ht="12.75">
      <c r="A87" s="6">
        <v>2</v>
      </c>
      <c r="B87" s="138">
        <v>11</v>
      </c>
      <c r="C87" s="8" t="str">
        <f t="shared" si="22"/>
        <v>E Whybrow</v>
      </c>
      <c r="D87" s="8" t="str">
        <f t="shared" si="23"/>
        <v>WOK</v>
      </c>
      <c r="E87" s="148">
        <v>13.1</v>
      </c>
      <c r="F87">
        <v>5</v>
      </c>
      <c r="H87" s="315">
        <f t="shared" si="24"/>
      </c>
      <c r="J87" s="12"/>
    </row>
    <row r="88" spans="1:10" ht="12.75">
      <c r="A88" s="6">
        <v>3</v>
      </c>
      <c r="B88" s="145" t="s">
        <v>927</v>
      </c>
      <c r="C88" s="8" t="str">
        <f t="shared" si="22"/>
        <v>Orla Breslin</v>
      </c>
      <c r="D88" s="8" t="str">
        <f t="shared" si="23"/>
        <v>WOK</v>
      </c>
      <c r="E88" s="148">
        <v>13.2</v>
      </c>
      <c r="F88">
        <v>4</v>
      </c>
      <c r="H88" s="315">
        <f t="shared" si="24"/>
      </c>
      <c r="J88" s="12"/>
    </row>
    <row r="89" spans="1:10" ht="12.75">
      <c r="A89" s="6">
        <v>4</v>
      </c>
      <c r="B89" s="141">
        <v>12</v>
      </c>
      <c r="C89" s="8" t="str">
        <f t="shared" si="22"/>
        <v>N Duker</v>
      </c>
      <c r="D89" s="8" t="str">
        <f t="shared" si="23"/>
        <v>WOK</v>
      </c>
      <c r="E89" s="148">
        <v>13.3</v>
      </c>
      <c r="F89">
        <v>3</v>
      </c>
      <c r="H89" s="315">
        <f t="shared" si="24"/>
      </c>
      <c r="J89" s="12"/>
    </row>
    <row r="90" spans="1:10" ht="12.75">
      <c r="A90" s="6">
        <v>5</v>
      </c>
      <c r="B90" s="132">
        <v>10</v>
      </c>
      <c r="C90" s="8" t="str">
        <f t="shared" si="22"/>
        <v>Izzy Byrne</v>
      </c>
      <c r="D90" s="8" t="str">
        <f t="shared" si="23"/>
        <v>W&amp;M</v>
      </c>
      <c r="E90" s="148">
        <v>14</v>
      </c>
      <c r="F90">
        <v>2</v>
      </c>
      <c r="H90" s="315">
        <f t="shared" si="24"/>
      </c>
      <c r="J90" s="12"/>
    </row>
    <row r="91" spans="1:10" ht="12.75">
      <c r="A91" s="6">
        <v>6</v>
      </c>
      <c r="B91" s="145"/>
      <c r="C91" s="8">
        <f t="shared" si="22"/>
      </c>
      <c r="D91" s="8">
        <f t="shared" si="23"/>
      </c>
      <c r="E91" s="148"/>
      <c r="F91">
        <v>1</v>
      </c>
      <c r="H91" s="315">
        <f t="shared" si="24"/>
      </c>
      <c r="J91" s="12"/>
    </row>
    <row r="92" spans="1:8" ht="12.75">
      <c r="A92" s="6">
        <v>7</v>
      </c>
      <c r="B92" s="301"/>
      <c r="C92" s="8">
        <f t="shared" si="22"/>
      </c>
      <c r="D92" s="8">
        <f t="shared" si="23"/>
      </c>
      <c r="E92" s="302"/>
      <c r="H92" s="315">
        <f t="shared" si="24"/>
      </c>
    </row>
    <row r="93" spans="1:10" ht="12.75">
      <c r="A93" s="14" t="s">
        <v>226</v>
      </c>
      <c r="B93" s="143"/>
      <c r="C93" s="14"/>
      <c r="D93" s="14"/>
      <c r="E93" s="143"/>
      <c r="F93" s="14"/>
      <c r="G93" s="51"/>
      <c r="H93" s="314"/>
      <c r="I93" s="14"/>
      <c r="J93" s="14"/>
    </row>
    <row r="95" spans="1:11" ht="12.75">
      <c r="A95" s="1" t="s">
        <v>0</v>
      </c>
      <c r="B95" s="134" t="s">
        <v>1</v>
      </c>
      <c r="C95" s="3" t="s">
        <v>2</v>
      </c>
      <c r="D95" s="4" t="s">
        <v>3</v>
      </c>
      <c r="E95" s="147" t="s">
        <v>4</v>
      </c>
      <c r="F95" s="16" t="s">
        <v>24</v>
      </c>
      <c r="I95" t="s">
        <v>6</v>
      </c>
      <c r="J95" s="12">
        <v>11.5</v>
      </c>
      <c r="K95" s="161" t="s">
        <v>225</v>
      </c>
    </row>
    <row r="96" spans="1:10" ht="12.75">
      <c r="A96" s="6">
        <v>1</v>
      </c>
      <c r="B96" s="138">
        <v>1</v>
      </c>
      <c r="C96" s="8" t="str">
        <f aca="true" t="shared" si="25" ref="C96:C102">IF(OR($B96=0,$B96=""),"",VLOOKUP($B96,ig80mh,2,FALSE))</f>
        <v>Chante Williams</v>
      </c>
      <c r="D96" s="8" t="str">
        <f aca="true" t="shared" si="26" ref="D96:D102">IF(OR($B96=0,$B96=""),"",VLOOKUP($B96,ig80mh,3,FALSE))</f>
        <v>BRK</v>
      </c>
      <c r="E96" s="148">
        <v>12</v>
      </c>
      <c r="F96">
        <v>6</v>
      </c>
      <c r="G96" s="42">
        <f>IF(E96="","",IF(E96&gt;J95,"","CBP"))</f>
      </c>
      <c r="H96" s="315" t="str">
        <f aca="true" t="shared" si="27" ref="H96:H101">IF(E96="","",IF(E96&gt;J$96,"","ESQ"))</f>
        <v>ESQ</v>
      </c>
      <c r="I96" t="s">
        <v>26</v>
      </c>
      <c r="J96" s="12">
        <v>12.1</v>
      </c>
    </row>
    <row r="97" spans="1:10" ht="12.75">
      <c r="A97" s="6">
        <v>2</v>
      </c>
      <c r="B97" s="138">
        <v>3</v>
      </c>
      <c r="C97" s="8" t="str">
        <f t="shared" si="25"/>
        <v>T Gohara</v>
      </c>
      <c r="D97" s="8" t="str">
        <f t="shared" si="26"/>
        <v>WB</v>
      </c>
      <c r="E97" s="148">
        <v>12.7</v>
      </c>
      <c r="F97">
        <v>5</v>
      </c>
      <c r="H97" s="315">
        <f t="shared" si="27"/>
      </c>
      <c r="J97" s="12"/>
    </row>
    <row r="98" spans="1:10" ht="12.75">
      <c r="A98" s="6">
        <v>3</v>
      </c>
      <c r="B98" s="138">
        <v>5</v>
      </c>
      <c r="C98" s="8" t="str">
        <f t="shared" si="25"/>
        <v>Emily Cunnimgham</v>
      </c>
      <c r="D98" s="8" t="str">
        <f t="shared" si="26"/>
        <v>RDG</v>
      </c>
      <c r="E98" s="148">
        <v>13.5</v>
      </c>
      <c r="F98">
        <v>4</v>
      </c>
      <c r="H98" s="315">
        <f t="shared" si="27"/>
      </c>
      <c r="J98" s="12"/>
    </row>
    <row r="99" spans="1:10" ht="12.75">
      <c r="A99" s="6">
        <v>4</v>
      </c>
      <c r="B99" s="138">
        <v>2</v>
      </c>
      <c r="C99" s="8" t="str">
        <f t="shared" si="25"/>
        <v>A Henderson</v>
      </c>
      <c r="D99" s="8" t="str">
        <f t="shared" si="26"/>
        <v>BRK</v>
      </c>
      <c r="E99" s="148">
        <v>13.9</v>
      </c>
      <c r="F99">
        <v>3</v>
      </c>
      <c r="H99" s="315">
        <f t="shared" si="27"/>
      </c>
      <c r="J99" s="12"/>
    </row>
    <row r="100" spans="1:10" ht="12.75">
      <c r="A100" s="6">
        <v>5</v>
      </c>
      <c r="B100" s="138"/>
      <c r="C100" s="8">
        <f t="shared" si="25"/>
      </c>
      <c r="D100" s="8">
        <f t="shared" si="26"/>
      </c>
      <c r="E100" s="148"/>
      <c r="F100">
        <v>2</v>
      </c>
      <c r="H100" s="315">
        <f t="shared" si="27"/>
      </c>
      <c r="J100" s="12"/>
    </row>
    <row r="101" spans="1:10" ht="12.75">
      <c r="A101" s="6">
        <v>6</v>
      </c>
      <c r="B101" s="138"/>
      <c r="C101" s="8">
        <f t="shared" si="25"/>
      </c>
      <c r="D101" s="8">
        <f t="shared" si="26"/>
      </c>
      <c r="E101" s="148"/>
      <c r="F101">
        <v>1</v>
      </c>
      <c r="H101" s="315">
        <f t="shared" si="27"/>
      </c>
      <c r="J101" s="12"/>
    </row>
    <row r="102" spans="1:10" ht="12.75">
      <c r="A102" s="6">
        <v>7</v>
      </c>
      <c r="B102" s="145"/>
      <c r="C102" s="8">
        <f t="shared" si="25"/>
      </c>
      <c r="D102" s="8">
        <f t="shared" si="26"/>
      </c>
      <c r="E102" s="148"/>
      <c r="J102" s="12"/>
    </row>
    <row r="104" spans="1:10" ht="12.75">
      <c r="A104" s="14" t="s">
        <v>245</v>
      </c>
      <c r="B104" s="143"/>
      <c r="C104" s="14"/>
      <c r="D104" s="14"/>
      <c r="E104" s="143"/>
      <c r="F104" s="14"/>
      <c r="G104" s="51"/>
      <c r="H104" s="314"/>
      <c r="I104" s="14"/>
      <c r="J104" s="14"/>
    </row>
    <row r="105" ht="12.75">
      <c r="A105" t="s">
        <v>32</v>
      </c>
    </row>
    <row r="106" spans="1:16" ht="12.75">
      <c r="A106" s="1" t="s">
        <v>0</v>
      </c>
      <c r="B106" s="134" t="s">
        <v>1</v>
      </c>
      <c r="C106" s="3" t="s">
        <v>2</v>
      </c>
      <c r="D106" s="4" t="s">
        <v>3</v>
      </c>
      <c r="E106" s="147" t="s">
        <v>4</v>
      </c>
      <c r="F106" s="16" t="s">
        <v>114</v>
      </c>
      <c r="I106" t="s">
        <v>6</v>
      </c>
      <c r="J106" s="12">
        <v>24.8</v>
      </c>
      <c r="K106" s="158" t="s">
        <v>246</v>
      </c>
      <c r="L106" s="2"/>
      <c r="M106" s="3"/>
      <c r="N106" s="4"/>
      <c r="O106" s="5"/>
      <c r="P106" s="16"/>
    </row>
    <row r="107" spans="1:18" ht="12.75">
      <c r="A107" s="6">
        <v>1</v>
      </c>
      <c r="B107" s="138">
        <v>11</v>
      </c>
      <c r="C107" s="8" t="str">
        <f aca="true" t="shared" si="28" ref="C107:C112">IF(OR($B107=0,$B107=""),"",VLOOKUP($B107,ig200m,2,FALSE))</f>
        <v>R Watkins</v>
      </c>
      <c r="D107" s="8" t="str">
        <f aca="true" t="shared" si="29" ref="D107:D112">IF(OR($B107=0,$B107=""),"",VLOOKUP($B107,ig200m,3,FALSE))</f>
        <v>WOK</v>
      </c>
      <c r="E107" s="148">
        <v>26.1</v>
      </c>
      <c r="F107" s="42" t="s">
        <v>123</v>
      </c>
      <c r="G107" s="42">
        <f>IF(E107="","",IF(E107&gt;J106,"","CBP"))</f>
      </c>
      <c r="H107" s="315">
        <f aca="true" t="shared" si="30" ref="H107:H120">IF(E107="","",IF(E107&gt;J$107,"","ESQ"))</f>
      </c>
      <c r="I107" t="s">
        <v>26</v>
      </c>
      <c r="J107" s="12">
        <v>26</v>
      </c>
      <c r="K107" s="158"/>
      <c r="L107" s="46"/>
      <c r="M107" s="44"/>
      <c r="N107" s="44"/>
      <c r="O107" s="47"/>
      <c r="Q107" s="42"/>
      <c r="R107" s="42"/>
    </row>
    <row r="108" spans="1:18" ht="12.75">
      <c r="A108" s="6">
        <v>2</v>
      </c>
      <c r="B108" s="138">
        <v>9</v>
      </c>
      <c r="C108" s="8" t="str">
        <f t="shared" si="28"/>
        <v>Caitlin McAra</v>
      </c>
      <c r="D108" s="8" t="str">
        <f t="shared" si="29"/>
        <v>W&amp;M</v>
      </c>
      <c r="E108" s="148">
        <v>27.7</v>
      </c>
      <c r="F108" s="42" t="s">
        <v>123</v>
      </c>
      <c r="H108" s="315">
        <f t="shared" si="30"/>
      </c>
      <c r="J108" s="12"/>
      <c r="K108" s="158"/>
      <c r="L108" s="7"/>
      <c r="M108" s="8"/>
      <c r="N108" s="8"/>
      <c r="O108" s="9"/>
      <c r="R108" s="42"/>
    </row>
    <row r="109" spans="1:18" ht="12.75">
      <c r="A109" s="6">
        <v>3</v>
      </c>
      <c r="B109" s="145">
        <v>3</v>
      </c>
      <c r="C109" s="8" t="str">
        <f t="shared" si="28"/>
        <v>K Angell</v>
      </c>
      <c r="D109" s="8" t="str">
        <f t="shared" si="29"/>
        <v>WB</v>
      </c>
      <c r="E109" s="148">
        <v>29</v>
      </c>
      <c r="F109" s="42" t="s">
        <v>123</v>
      </c>
      <c r="H109" s="315">
        <f t="shared" si="30"/>
      </c>
      <c r="J109" s="12"/>
      <c r="K109" s="158"/>
      <c r="L109" s="10"/>
      <c r="M109" s="8"/>
      <c r="N109" s="8"/>
      <c r="O109" s="9"/>
      <c r="P109" s="42"/>
      <c r="R109" s="42"/>
    </row>
    <row r="110" spans="1:18" ht="12.75">
      <c r="A110" s="6">
        <v>4</v>
      </c>
      <c r="B110" s="141"/>
      <c r="C110" s="8">
        <f t="shared" si="28"/>
      </c>
      <c r="D110" s="8">
        <f t="shared" si="29"/>
      </c>
      <c r="E110" s="148"/>
      <c r="H110" s="315">
        <f t="shared" si="30"/>
      </c>
      <c r="J110" s="12"/>
      <c r="K110" s="158"/>
      <c r="L110" s="11"/>
      <c r="M110" s="8"/>
      <c r="N110" s="8"/>
      <c r="O110" s="9"/>
      <c r="R110" s="42"/>
    </row>
    <row r="111" spans="1:18" ht="12.75">
      <c r="A111" s="6">
        <v>5</v>
      </c>
      <c r="B111" s="132"/>
      <c r="C111" s="8">
        <f t="shared" si="28"/>
      </c>
      <c r="D111" s="8">
        <f t="shared" si="29"/>
      </c>
      <c r="E111" s="148"/>
      <c r="H111" s="315">
        <f t="shared" si="30"/>
      </c>
      <c r="J111" s="12"/>
      <c r="K111" s="158"/>
      <c r="L111" s="6"/>
      <c r="M111" s="8"/>
      <c r="N111" s="8"/>
      <c r="O111" s="9"/>
      <c r="R111" s="42"/>
    </row>
    <row r="112" spans="1:18" ht="12.75">
      <c r="A112" s="6">
        <v>6</v>
      </c>
      <c r="B112" s="145"/>
      <c r="C112" s="8">
        <f t="shared" si="28"/>
      </c>
      <c r="D112" s="8">
        <f t="shared" si="29"/>
      </c>
      <c r="E112" s="148"/>
      <c r="H112" s="315">
        <f t="shared" si="30"/>
      </c>
      <c r="J112" s="12"/>
      <c r="K112" s="158"/>
      <c r="L112" s="10"/>
      <c r="M112" s="8"/>
      <c r="N112" s="8"/>
      <c r="O112" s="9"/>
      <c r="R112" s="42"/>
    </row>
    <row r="113" spans="1:18" ht="12.75">
      <c r="A113" t="s">
        <v>33</v>
      </c>
      <c r="H113" s="315">
        <f t="shared" si="30"/>
      </c>
      <c r="J113" s="12"/>
      <c r="K113" s="158"/>
      <c r="L113" s="10"/>
      <c r="M113" s="8"/>
      <c r="N113" s="8"/>
      <c r="O113" s="9"/>
      <c r="R113" s="42"/>
    </row>
    <row r="114" spans="1:18" ht="12.75">
      <c r="A114" s="1" t="s">
        <v>0</v>
      </c>
      <c r="B114" s="134" t="s">
        <v>1</v>
      </c>
      <c r="C114" s="3" t="s">
        <v>2</v>
      </c>
      <c r="D114" s="4" t="s">
        <v>3</v>
      </c>
      <c r="E114" s="147" t="s">
        <v>4</v>
      </c>
      <c r="F114" s="16" t="s">
        <v>114</v>
      </c>
      <c r="H114" s="315">
        <f t="shared" si="30"/>
      </c>
      <c r="J114" s="12"/>
      <c r="K114" s="158"/>
      <c r="L114" s="10"/>
      <c r="M114" s="8"/>
      <c r="N114" s="8"/>
      <c r="O114" s="9"/>
      <c r="R114" s="42"/>
    </row>
    <row r="115" spans="1:18" ht="12.75">
      <c r="A115" s="6">
        <v>1</v>
      </c>
      <c r="B115" s="138">
        <v>12</v>
      </c>
      <c r="C115" s="8" t="str">
        <f aca="true" t="shared" si="31" ref="C115:C120">IF(OR($B115=0,$B115=""),"",VLOOKUP($B115,ig200m,2,FALSE))</f>
        <v>Isobel Gilkes</v>
      </c>
      <c r="D115" s="8" t="str">
        <f aca="true" t="shared" si="32" ref="D115:D120">IF(OR($B115=0,$B115=""),"",VLOOKUP($B115,ig200m,3,FALSE))</f>
        <v>WOK</v>
      </c>
      <c r="E115" s="316">
        <v>26.8</v>
      </c>
      <c r="F115" s="42" t="s">
        <v>123</v>
      </c>
      <c r="G115" s="42">
        <f>IF(E115="","",IF(E115&gt;J106,"","CBP"))</f>
      </c>
      <c r="H115" s="315">
        <f t="shared" si="30"/>
      </c>
      <c r="J115" s="12"/>
      <c r="K115" s="158"/>
      <c r="L115" s="10"/>
      <c r="M115" s="8"/>
      <c r="N115" s="8"/>
      <c r="O115" s="9"/>
      <c r="R115" s="42"/>
    </row>
    <row r="116" spans="1:18" ht="12.75">
      <c r="A116" s="6">
        <v>2</v>
      </c>
      <c r="B116" s="138">
        <v>1</v>
      </c>
      <c r="C116" s="8" t="str">
        <f t="shared" si="31"/>
        <v>E Seymour</v>
      </c>
      <c r="D116" s="8" t="str">
        <f t="shared" si="32"/>
        <v>BRK</v>
      </c>
      <c r="E116" s="148">
        <v>29.8</v>
      </c>
      <c r="F116" s="42" t="s">
        <v>123</v>
      </c>
      <c r="H116" s="315">
        <f t="shared" si="30"/>
      </c>
      <c r="J116" s="12"/>
      <c r="K116" s="158"/>
      <c r="L116" s="10"/>
      <c r="M116" s="8"/>
      <c r="N116" s="8"/>
      <c r="O116" s="9"/>
      <c r="R116" s="42"/>
    </row>
    <row r="117" spans="1:18" ht="12.75">
      <c r="A117" s="6">
        <v>3</v>
      </c>
      <c r="B117" s="145">
        <v>10</v>
      </c>
      <c r="C117" s="8" t="str">
        <f t="shared" si="31"/>
        <v>Jolade Lawal</v>
      </c>
      <c r="D117" s="8" t="str">
        <f t="shared" si="32"/>
        <v>W&amp;M</v>
      </c>
      <c r="E117" s="148">
        <v>29.8</v>
      </c>
      <c r="F117" s="42" t="s">
        <v>123</v>
      </c>
      <c r="H117" s="315">
        <f t="shared" si="30"/>
      </c>
      <c r="J117" s="12"/>
      <c r="K117" s="158"/>
      <c r="L117" s="10"/>
      <c r="M117" s="8"/>
      <c r="N117" s="8"/>
      <c r="O117" s="9"/>
      <c r="R117" s="42"/>
    </row>
    <row r="118" spans="1:18" ht="12.75">
      <c r="A118" s="6">
        <v>4</v>
      </c>
      <c r="B118" s="141">
        <v>5</v>
      </c>
      <c r="C118" s="8" t="str">
        <f t="shared" si="31"/>
        <v>Emily Dunsheath</v>
      </c>
      <c r="D118" s="8" t="str">
        <f t="shared" si="32"/>
        <v>RDG</v>
      </c>
      <c r="E118" s="148">
        <v>30.5</v>
      </c>
      <c r="F118" s="42"/>
      <c r="H118" s="315">
        <f t="shared" si="30"/>
      </c>
      <c r="J118" s="12"/>
      <c r="K118" s="158"/>
      <c r="L118" s="10"/>
      <c r="M118" s="8"/>
      <c r="N118" s="8"/>
      <c r="O118" s="9"/>
      <c r="R118" s="42"/>
    </row>
    <row r="119" spans="1:18" ht="12.75">
      <c r="A119" s="6">
        <v>5</v>
      </c>
      <c r="B119" s="132"/>
      <c r="C119" s="8">
        <f t="shared" si="31"/>
      </c>
      <c r="D119" s="8">
        <f t="shared" si="32"/>
      </c>
      <c r="E119" s="148"/>
      <c r="H119" s="315">
        <f t="shared" si="30"/>
      </c>
      <c r="J119" s="12"/>
      <c r="K119" s="158"/>
      <c r="L119" s="10"/>
      <c r="M119" s="8"/>
      <c r="N119" s="8"/>
      <c r="O119" s="9"/>
      <c r="R119" s="42"/>
    </row>
    <row r="120" spans="1:18" ht="12.75">
      <c r="A120" s="6">
        <v>6</v>
      </c>
      <c r="B120" s="145"/>
      <c r="C120" s="8">
        <f t="shared" si="31"/>
      </c>
      <c r="D120" s="8">
        <f t="shared" si="32"/>
      </c>
      <c r="E120" s="148"/>
      <c r="H120" s="315">
        <f t="shared" si="30"/>
      </c>
      <c r="J120" s="12"/>
      <c r="K120" s="158"/>
      <c r="L120" s="10"/>
      <c r="M120" s="8"/>
      <c r="N120" s="8"/>
      <c r="O120" s="9"/>
      <c r="R120" s="42"/>
    </row>
    <row r="122" spans="1:10" ht="12.75">
      <c r="A122" s="14" t="s">
        <v>251</v>
      </c>
      <c r="B122" s="143"/>
      <c r="C122" s="14"/>
      <c r="D122" s="14"/>
      <c r="E122" s="143"/>
      <c r="F122" s="14"/>
      <c r="G122" s="51"/>
      <c r="H122" s="314"/>
      <c r="I122" s="14"/>
      <c r="J122" s="14"/>
    </row>
    <row r="124" spans="1:11" ht="12.75">
      <c r="A124" s="1" t="s">
        <v>0</v>
      </c>
      <c r="B124" s="134" t="s">
        <v>1</v>
      </c>
      <c r="C124" s="3" t="s">
        <v>2</v>
      </c>
      <c r="D124" s="4" t="s">
        <v>3</v>
      </c>
      <c r="E124" s="147" t="s">
        <v>4</v>
      </c>
      <c r="F124" s="16" t="s">
        <v>24</v>
      </c>
      <c r="I124" t="s">
        <v>6</v>
      </c>
      <c r="J124" s="12">
        <v>39.2</v>
      </c>
      <c r="K124" s="158" t="s">
        <v>233</v>
      </c>
    </row>
    <row r="125" spans="1:10" ht="12.75">
      <c r="A125" s="6">
        <v>1</v>
      </c>
      <c r="B125" s="138">
        <v>12</v>
      </c>
      <c r="C125" s="8" t="str">
        <f aca="true" t="shared" si="33" ref="C125:C130">IF(OR($B125=0,$B125=""),"",VLOOKUP($B125,ig300m,2,FALSE))</f>
        <v>C McCafferty</v>
      </c>
      <c r="D125" s="8" t="str">
        <f aca="true" t="shared" si="34" ref="D125:D130">IF(OR($B125=0,$B125=""),"",VLOOKUP($B125,ig300m,3,FALSE))</f>
        <v>WOK</v>
      </c>
      <c r="E125" s="148">
        <v>41.6</v>
      </c>
      <c r="F125">
        <v>6</v>
      </c>
      <c r="G125" s="42">
        <f>IF(E125="","",IF(E125&gt;J124,"","CBP"))</f>
      </c>
      <c r="H125" s="315">
        <f aca="true" t="shared" si="35" ref="H125:H130">IF(E125="","",IF(E125&gt;J$125,"","ESQ"))</f>
      </c>
      <c r="I125" t="s">
        <v>26</v>
      </c>
      <c r="J125" s="12">
        <v>41.4</v>
      </c>
    </row>
    <row r="126" spans="1:10" ht="12.75">
      <c r="A126" s="6">
        <v>2</v>
      </c>
      <c r="B126" s="138">
        <v>5</v>
      </c>
      <c r="C126" s="8" t="str">
        <f t="shared" si="33"/>
        <v>Emmanuella Young</v>
      </c>
      <c r="D126" s="8" t="str">
        <f t="shared" si="34"/>
        <v>RDG</v>
      </c>
      <c r="E126" s="148">
        <v>42.2</v>
      </c>
      <c r="F126">
        <v>5</v>
      </c>
      <c r="H126" s="315">
        <f t="shared" si="35"/>
      </c>
      <c r="J126" s="12"/>
    </row>
    <row r="127" spans="1:10" ht="12.75">
      <c r="A127" s="6">
        <v>3</v>
      </c>
      <c r="B127" s="138">
        <v>11</v>
      </c>
      <c r="C127" s="8" t="str">
        <f t="shared" si="33"/>
        <v>N Bennett</v>
      </c>
      <c r="D127" s="8" t="str">
        <f t="shared" si="34"/>
        <v>WOK</v>
      </c>
      <c r="E127" s="148">
        <v>42.2</v>
      </c>
      <c r="F127">
        <v>4</v>
      </c>
      <c r="H127" s="315">
        <f t="shared" si="35"/>
      </c>
      <c r="J127" s="12"/>
    </row>
    <row r="128" spans="1:10" ht="12.75">
      <c r="A128" s="6">
        <v>4</v>
      </c>
      <c r="B128" s="138">
        <v>1</v>
      </c>
      <c r="C128" s="8" t="str">
        <f t="shared" si="33"/>
        <v>C Johnson</v>
      </c>
      <c r="D128" s="8" t="str">
        <f t="shared" si="34"/>
        <v>BRK</v>
      </c>
      <c r="E128" s="148">
        <v>42.8</v>
      </c>
      <c r="F128">
        <v>3</v>
      </c>
      <c r="H128" s="315">
        <f t="shared" si="35"/>
      </c>
      <c r="J128" s="12"/>
    </row>
    <row r="129" spans="1:10" ht="12.75">
      <c r="A129" s="6">
        <v>5</v>
      </c>
      <c r="B129" s="138">
        <v>9</v>
      </c>
      <c r="C129" s="8" t="str">
        <f t="shared" si="33"/>
        <v>Lottie Ambridge</v>
      </c>
      <c r="D129" s="8" t="str">
        <f t="shared" si="34"/>
        <v>W&amp;M</v>
      </c>
      <c r="E129" s="148">
        <v>43</v>
      </c>
      <c r="F129">
        <v>2</v>
      </c>
      <c r="H129" s="315">
        <f t="shared" si="35"/>
      </c>
      <c r="J129" s="12"/>
    </row>
    <row r="130" spans="1:10" ht="12.75">
      <c r="A130" s="6">
        <v>6</v>
      </c>
      <c r="B130" s="138">
        <v>6</v>
      </c>
      <c r="C130" s="8" t="str">
        <f t="shared" si="33"/>
        <v>Maisie Pennant</v>
      </c>
      <c r="D130" s="8" t="str">
        <f t="shared" si="34"/>
        <v>RDG</v>
      </c>
      <c r="E130" s="148">
        <v>44.5</v>
      </c>
      <c r="F130">
        <v>1</v>
      </c>
      <c r="H130" s="315">
        <f t="shared" si="35"/>
      </c>
      <c r="J130" s="12"/>
    </row>
    <row r="131" spans="1:10" ht="12.75">
      <c r="A131" s="6"/>
      <c r="B131" s="145"/>
      <c r="C131" s="8"/>
      <c r="D131" s="8"/>
      <c r="E131" s="148"/>
      <c r="J131" s="12"/>
    </row>
    <row r="132" spans="1:15" ht="12.75">
      <c r="A132" s="14" t="s">
        <v>253</v>
      </c>
      <c r="B132" s="143"/>
      <c r="C132" s="14"/>
      <c r="D132" s="14"/>
      <c r="E132" s="143"/>
      <c r="F132" s="14"/>
      <c r="G132" s="51"/>
      <c r="H132" s="314"/>
      <c r="I132" s="14"/>
      <c r="J132" s="14"/>
      <c r="O132" s="42" t="s">
        <v>1389</v>
      </c>
    </row>
    <row r="134" spans="1:23" ht="12.75">
      <c r="A134" s="1" t="s">
        <v>0</v>
      </c>
      <c r="B134" s="134" t="s">
        <v>1</v>
      </c>
      <c r="C134" s="3" t="s">
        <v>2</v>
      </c>
      <c r="D134" s="4" t="s">
        <v>3</v>
      </c>
      <c r="E134" s="147" t="s">
        <v>4</v>
      </c>
      <c r="F134" s="16" t="s">
        <v>24</v>
      </c>
      <c r="I134" t="s">
        <v>6</v>
      </c>
      <c r="J134" s="49">
        <v>0.00319791666666667</v>
      </c>
      <c r="K134" s="161" t="s">
        <v>254</v>
      </c>
      <c r="O134" s="1" t="s">
        <v>0</v>
      </c>
      <c r="P134" s="134" t="s">
        <v>1</v>
      </c>
      <c r="Q134" s="3" t="s">
        <v>2</v>
      </c>
      <c r="R134" s="4" t="s">
        <v>3</v>
      </c>
      <c r="S134" s="147" t="s">
        <v>4</v>
      </c>
      <c r="T134" s="16" t="s">
        <v>24</v>
      </c>
      <c r="U134" s="55"/>
      <c r="V134" s="55"/>
      <c r="W134" t="s">
        <v>6</v>
      </c>
    </row>
    <row r="135" spans="1:19" ht="12.75">
      <c r="A135" s="6">
        <v>1</v>
      </c>
      <c r="B135" s="138">
        <v>3</v>
      </c>
      <c r="C135" s="8" t="str">
        <f aca="true" t="shared" si="36" ref="C135:C152">IF(OR($B135=0,$B135=""),"",VLOOKUP($B135,ig1500m,2,FALSE))</f>
        <v>K Shepherd-Cross</v>
      </c>
      <c r="D135" s="8" t="str">
        <f aca="true" t="shared" si="37" ref="D135:D152">IF(OR($B135=0,$B135=""),"",VLOOKUP($B135,ig1500m,3,FALSE))</f>
        <v>WB</v>
      </c>
      <c r="E135" s="149">
        <v>0.003296296296296296</v>
      </c>
      <c r="F135">
        <v>6</v>
      </c>
      <c r="G135" s="42"/>
      <c r="H135" s="315" t="str">
        <f>IF(E135="","",IF(E135&gt;J$135,"","ESQ"))</f>
        <v>ESQ</v>
      </c>
      <c r="I135" t="s">
        <v>26</v>
      </c>
      <c r="J135" s="49" t="s">
        <v>746</v>
      </c>
      <c r="O135">
        <v>1</v>
      </c>
      <c r="Q135" s="55">
        <f aca="true" t="shared" si="38" ref="Q135:Q140">IF(OR($P135=0,$P135=""),"",VLOOKUP($P135,ig1500SC,2,FALSE))</f>
      </c>
      <c r="R135" s="55">
        <f aca="true" t="shared" si="39" ref="R135:R140">IF(OR($P135=0,$P135=""),"",VLOOKUP($P135,ig1500SC,3,FALSE))</f>
      </c>
      <c r="S135" s="55"/>
    </row>
    <row r="136" spans="1:18" ht="12.75">
      <c r="A136" s="6">
        <v>2</v>
      </c>
      <c r="B136" s="138">
        <v>4</v>
      </c>
      <c r="C136" s="8" t="str">
        <f t="shared" si="36"/>
        <v>Isobel Mannion</v>
      </c>
      <c r="D136" s="8" t="str">
        <f t="shared" si="37"/>
        <v>WB</v>
      </c>
      <c r="E136" s="149">
        <v>0.003336805555555555</v>
      </c>
      <c r="F136">
        <v>5</v>
      </c>
      <c r="J136" s="12"/>
      <c r="O136">
        <v>2</v>
      </c>
      <c r="Q136" s="55">
        <f t="shared" si="38"/>
      </c>
      <c r="R136" s="55">
        <f t="shared" si="39"/>
      </c>
    </row>
    <row r="137" spans="1:18" ht="12.75">
      <c r="A137" s="6">
        <v>3</v>
      </c>
      <c r="B137" s="138">
        <v>2</v>
      </c>
      <c r="C137" s="8" t="str">
        <f t="shared" si="36"/>
        <v>Amelia Wilks</v>
      </c>
      <c r="D137" s="8" t="str">
        <f t="shared" si="37"/>
        <v>BRK</v>
      </c>
      <c r="E137" s="149">
        <v>0.0034664351851851852</v>
      </c>
      <c r="F137">
        <v>4</v>
      </c>
      <c r="J137" s="12"/>
      <c r="O137">
        <v>3</v>
      </c>
      <c r="Q137" s="55">
        <f t="shared" si="38"/>
      </c>
      <c r="R137" s="55">
        <f t="shared" si="39"/>
      </c>
    </row>
    <row r="138" spans="1:18" ht="12.75">
      <c r="A138" s="6">
        <v>4</v>
      </c>
      <c r="B138" s="138">
        <v>1</v>
      </c>
      <c r="C138" s="8" t="str">
        <f t="shared" si="36"/>
        <v>C Nicholls</v>
      </c>
      <c r="D138" s="8" t="str">
        <f t="shared" si="37"/>
        <v>BRK</v>
      </c>
      <c r="E138" s="149">
        <v>0.0034907407407407404</v>
      </c>
      <c r="F138">
        <v>3</v>
      </c>
      <c r="J138" s="12"/>
      <c r="O138">
        <v>4</v>
      </c>
      <c r="Q138" s="55">
        <f t="shared" si="38"/>
      </c>
      <c r="R138" s="55">
        <f t="shared" si="39"/>
      </c>
    </row>
    <row r="139" spans="1:18" ht="12.75">
      <c r="A139" s="6">
        <v>5</v>
      </c>
      <c r="B139" s="138">
        <v>11</v>
      </c>
      <c r="C139" s="8" t="str">
        <f t="shared" si="36"/>
        <v>H Walker</v>
      </c>
      <c r="D139" s="8" t="str">
        <f t="shared" si="37"/>
        <v>WOK</v>
      </c>
      <c r="E139" s="149">
        <v>0.003612268518518518</v>
      </c>
      <c r="F139">
        <v>2</v>
      </c>
      <c r="J139" s="12"/>
      <c r="O139">
        <v>5</v>
      </c>
      <c r="Q139" s="55">
        <f t="shared" si="38"/>
      </c>
      <c r="R139" s="55">
        <f t="shared" si="39"/>
      </c>
    </row>
    <row r="140" spans="1:18" ht="12.75">
      <c r="A140" s="6">
        <v>6</v>
      </c>
      <c r="B140" s="138">
        <v>10</v>
      </c>
      <c r="C140" s="8" t="str">
        <f t="shared" si="36"/>
        <v>Charlie Holden</v>
      </c>
      <c r="D140" s="8" t="str">
        <f t="shared" si="37"/>
        <v>W&amp;M</v>
      </c>
      <c r="E140" s="149">
        <v>0.0036331018518518513</v>
      </c>
      <c r="F140">
        <v>1</v>
      </c>
      <c r="J140" s="12"/>
      <c r="O140">
        <v>6</v>
      </c>
      <c r="Q140" s="55">
        <f t="shared" si="38"/>
      </c>
      <c r="R140" s="55">
        <f t="shared" si="39"/>
      </c>
    </row>
    <row r="141" spans="1:5" ht="12.75">
      <c r="A141" s="6">
        <v>7</v>
      </c>
      <c r="B141" s="301">
        <v>9</v>
      </c>
      <c r="C141" s="8" t="str">
        <f t="shared" si="36"/>
        <v>Elena Jones</v>
      </c>
      <c r="D141" s="8" t="str">
        <f t="shared" si="37"/>
        <v>W&amp;M</v>
      </c>
      <c r="E141" s="311">
        <v>0.003797453703703704</v>
      </c>
    </row>
    <row r="142" spans="1:5" ht="12.75">
      <c r="A142" s="6"/>
      <c r="B142" s="301"/>
      <c r="C142" s="8"/>
      <c r="D142" s="8"/>
      <c r="E142" s="311"/>
    </row>
    <row r="143" spans="1:5" ht="12.75">
      <c r="A143" s="6"/>
      <c r="B143" s="301"/>
      <c r="C143" s="8"/>
      <c r="D143" s="8"/>
      <c r="E143" s="311"/>
    </row>
    <row r="144" spans="1:5" ht="12.75">
      <c r="A144" s="14" t="s">
        <v>1411</v>
      </c>
      <c r="B144" s="301"/>
      <c r="C144" s="8"/>
      <c r="D144" s="8"/>
      <c r="E144" s="311"/>
    </row>
    <row r="145" spans="1:6" ht="12.75">
      <c r="A145" s="1" t="s">
        <v>0</v>
      </c>
      <c r="B145" s="134" t="s">
        <v>1</v>
      </c>
      <c r="C145" s="3" t="s">
        <v>2</v>
      </c>
      <c r="D145" s="4" t="s">
        <v>3</v>
      </c>
      <c r="E145" s="147" t="s">
        <v>4</v>
      </c>
      <c r="F145" s="16" t="s">
        <v>24</v>
      </c>
    </row>
    <row r="146" spans="1:10" ht="12.75">
      <c r="A146" s="6">
        <v>1</v>
      </c>
      <c r="B146" s="303" t="s">
        <v>1407</v>
      </c>
      <c r="C146" s="8" t="str">
        <f>IF(OR($B146=0,$B146=""),"",VLOOKUP($B146,ig1500SC,2,FALSE))</f>
        <v>Emily Jones</v>
      </c>
      <c r="D146" s="8" t="str">
        <f>IF(OR($B146=0,$B146=""),"",VLOOKUP($B146,ig1500SC,3,FALSE))</f>
        <v>BRK</v>
      </c>
      <c r="E146" s="311">
        <v>0.003894675925925926</v>
      </c>
      <c r="F146">
        <v>6</v>
      </c>
      <c r="G146" s="42"/>
      <c r="I146" t="s">
        <v>6</v>
      </c>
      <c r="J146" s="49">
        <v>0.003569444444444444</v>
      </c>
    </row>
    <row r="147" spans="1:10" ht="12.75">
      <c r="A147" s="6">
        <v>2</v>
      </c>
      <c r="B147" s="301">
        <v>5</v>
      </c>
      <c r="C147" s="8" t="str">
        <f>IF(OR($B147=0,$B147=""),"",VLOOKUP($B147,ig1500SC,2,FALSE))</f>
        <v>Maya Hodgson</v>
      </c>
      <c r="D147" s="8" t="str">
        <f>IF(OR($B147=0,$B147=""),"",VLOOKUP($B147,ig1500SC,3,FALSE))</f>
        <v>RDG</v>
      </c>
      <c r="E147" s="311">
        <v>0.003946759259259259</v>
      </c>
      <c r="F147">
        <v>5</v>
      </c>
      <c r="I147" t="s">
        <v>26</v>
      </c>
      <c r="J147" s="49">
        <v>0.0037384259259259263</v>
      </c>
    </row>
    <row r="148" spans="1:6" ht="12.75">
      <c r="A148" s="6">
        <v>3</v>
      </c>
      <c r="C148" s="8">
        <f>IF(OR($B148=0,$B148=""),"",VLOOKUP($B148,ig1500SC,2,FALSE))</f>
      </c>
      <c r="D148" s="8">
        <f>IF(OR($B148=0,$B148=""),"",VLOOKUP($B148,ig1500SC,3,FALSE))</f>
      </c>
      <c r="E148" s="150"/>
      <c r="F148">
        <v>4</v>
      </c>
    </row>
    <row r="149" spans="1:6" ht="12.75">
      <c r="A149" s="6">
        <v>4</v>
      </c>
      <c r="C149" s="8">
        <f>IF(OR($B149=0,$B149=""),"",VLOOKUP($B149,ig1500SC,2,FALSE))</f>
      </c>
      <c r="D149" s="8">
        <f>IF(OR($B149=0,$B149=""),"",VLOOKUP($B149,ig1500SC,3,FALSE))</f>
      </c>
      <c r="E149" s="150"/>
      <c r="F149">
        <v>3</v>
      </c>
    </row>
    <row r="150" spans="1:6" ht="12.75">
      <c r="A150" s="6"/>
      <c r="C150" s="8">
        <f t="shared" si="36"/>
      </c>
      <c r="D150" s="8">
        <f t="shared" si="37"/>
      </c>
      <c r="E150" s="150"/>
      <c r="F150">
        <v>2</v>
      </c>
    </row>
    <row r="151" spans="1:6" ht="12.75">
      <c r="A151" s="6"/>
      <c r="C151" s="8">
        <f t="shared" si="36"/>
      </c>
      <c r="D151" s="8">
        <f t="shared" si="37"/>
      </c>
      <c r="E151" s="150"/>
      <c r="F151">
        <v>1</v>
      </c>
    </row>
    <row r="152" spans="1:5" ht="12.75">
      <c r="A152" s="6"/>
      <c r="C152" s="8">
        <f t="shared" si="36"/>
      </c>
      <c r="D152" s="8">
        <f t="shared" si="37"/>
      </c>
      <c r="E152" s="150"/>
    </row>
    <row r="154" spans="1:10" ht="12.75">
      <c r="A154" s="14" t="s">
        <v>266</v>
      </c>
      <c r="B154" s="143"/>
      <c r="C154" s="14"/>
      <c r="D154" s="14"/>
      <c r="E154" s="143"/>
      <c r="F154" s="14"/>
      <c r="G154" s="51"/>
      <c r="H154" s="314"/>
      <c r="I154" s="14"/>
      <c r="J154" s="14"/>
    </row>
    <row r="156" spans="1:11" ht="12.75">
      <c r="A156" s="1" t="s">
        <v>0</v>
      </c>
      <c r="B156" s="134" t="s">
        <v>1</v>
      </c>
      <c r="C156" s="3" t="s">
        <v>2</v>
      </c>
      <c r="D156" s="4" t="s">
        <v>3</v>
      </c>
      <c r="E156" s="147" t="s">
        <v>4</v>
      </c>
      <c r="F156" s="16" t="s">
        <v>24</v>
      </c>
      <c r="I156" t="s">
        <v>6</v>
      </c>
      <c r="J156" s="49">
        <v>0.007082175925925927</v>
      </c>
      <c r="K156" s="161" t="s">
        <v>341</v>
      </c>
    </row>
    <row r="157" spans="1:10" ht="12.75">
      <c r="A157" s="6">
        <v>1</v>
      </c>
      <c r="B157" s="138">
        <v>5</v>
      </c>
      <c r="C157" s="8" t="str">
        <f aca="true" t="shared" si="40" ref="C157:C168">IF(OR($B157=0,$B157=""),"",VLOOKUP($B157,ig3000m,2,FALSE))</f>
        <v>Katie Rodda</v>
      </c>
      <c r="D157" s="8" t="str">
        <f aca="true" t="shared" si="41" ref="D157:D168">IF(OR($B157=0,$B157=""),"",VLOOKUP($B157,ig3000m,3,FALSE))</f>
        <v>RDG</v>
      </c>
      <c r="E157" s="149">
        <v>0.007702546296296297</v>
      </c>
      <c r="F157">
        <v>6</v>
      </c>
      <c r="G157" s="42"/>
      <c r="I157" t="s">
        <v>26</v>
      </c>
      <c r="J157" s="49">
        <v>0.007245370370370371</v>
      </c>
    </row>
    <row r="158" spans="1:10" ht="12.75">
      <c r="A158" s="6">
        <v>2</v>
      </c>
      <c r="B158" s="138"/>
      <c r="C158" s="8">
        <f t="shared" si="40"/>
      </c>
      <c r="D158" s="8">
        <f t="shared" si="41"/>
      </c>
      <c r="E158" s="149"/>
      <c r="F158">
        <v>5</v>
      </c>
      <c r="J158" s="12"/>
    </row>
    <row r="159" spans="1:10" ht="12.75">
      <c r="A159" s="6">
        <v>3</v>
      </c>
      <c r="B159" s="145"/>
      <c r="C159" s="8">
        <f t="shared" si="40"/>
      </c>
      <c r="D159" s="8">
        <f t="shared" si="41"/>
      </c>
      <c r="E159" s="149"/>
      <c r="F159">
        <v>4</v>
      </c>
      <c r="H159" s="315">
        <f>IF(E159="","",IF(E159&gt;J$157,"","ESQ"))</f>
      </c>
      <c r="J159" s="12"/>
    </row>
    <row r="160" spans="1:10" ht="12.75">
      <c r="A160" s="6">
        <v>4</v>
      </c>
      <c r="B160" s="141"/>
      <c r="C160" s="8">
        <f t="shared" si="40"/>
      </c>
      <c r="D160" s="8">
        <f t="shared" si="41"/>
      </c>
      <c r="E160" s="149"/>
      <c r="F160">
        <v>3</v>
      </c>
      <c r="H160" s="315">
        <f>IF(E160="","",IF(E160&gt;J$157,"","ESQ"))</f>
      </c>
      <c r="J160" s="12"/>
    </row>
    <row r="161" spans="1:10" ht="12.75">
      <c r="A161" s="6">
        <v>5</v>
      </c>
      <c r="B161" s="132"/>
      <c r="C161" s="8">
        <f t="shared" si="40"/>
      </c>
      <c r="D161" s="8">
        <f t="shared" si="41"/>
      </c>
      <c r="E161" s="149"/>
      <c r="F161">
        <v>2</v>
      </c>
      <c r="H161" s="315">
        <f>IF(E161="","",IF(E161&gt;J$157,"","ESQ"))</f>
      </c>
      <c r="J161" s="12"/>
    </row>
    <row r="162" spans="1:10" ht="12.75">
      <c r="A162" s="6">
        <v>6</v>
      </c>
      <c r="B162" s="145"/>
      <c r="C162" s="8">
        <f t="shared" si="40"/>
      </c>
      <c r="D162" s="8">
        <f t="shared" si="41"/>
      </c>
      <c r="E162" s="149"/>
      <c r="F162">
        <v>1</v>
      </c>
      <c r="H162" s="315">
        <f>IF(E162="","",IF(E162&gt;J$157,"","ESQ"))</f>
      </c>
      <c r="J162" s="12"/>
    </row>
    <row r="163" spans="1:5" ht="12.75">
      <c r="A163" s="6">
        <v>7</v>
      </c>
      <c r="C163" s="8">
        <f t="shared" si="40"/>
      </c>
      <c r="D163" s="8">
        <f t="shared" si="41"/>
      </c>
      <c r="E163" s="150"/>
    </row>
    <row r="164" spans="1:5" ht="12.75">
      <c r="A164" s="6">
        <v>8</v>
      </c>
      <c r="C164" s="8">
        <f t="shared" si="40"/>
      </c>
      <c r="D164" s="8">
        <f t="shared" si="41"/>
      </c>
      <c r="E164" s="150"/>
    </row>
    <row r="165" spans="1:5" ht="12.75">
      <c r="A165" s="6">
        <v>9</v>
      </c>
      <c r="C165" s="8">
        <f t="shared" si="40"/>
      </c>
      <c r="D165" s="8">
        <f t="shared" si="41"/>
      </c>
      <c r="E165" s="150"/>
    </row>
    <row r="166" spans="1:5" ht="12.75">
      <c r="A166" s="6">
        <v>10</v>
      </c>
      <c r="C166" s="8">
        <f t="shared" si="40"/>
      </c>
      <c r="D166" s="8">
        <f t="shared" si="41"/>
      </c>
      <c r="E166" s="150"/>
    </row>
    <row r="167" spans="1:5" ht="12.75">
      <c r="A167" s="6">
        <v>11</v>
      </c>
      <c r="C167" s="8">
        <f t="shared" si="40"/>
      </c>
      <c r="D167" s="8">
        <f t="shared" si="41"/>
      </c>
      <c r="E167" s="150"/>
    </row>
    <row r="168" spans="1:5" ht="12.75">
      <c r="A168" s="6">
        <v>12</v>
      </c>
      <c r="C168" s="8">
        <f t="shared" si="40"/>
      </c>
      <c r="D168" s="8">
        <f t="shared" si="41"/>
      </c>
      <c r="E168" s="150"/>
    </row>
    <row r="169" spans="1:4" ht="12.75">
      <c r="A169" s="6"/>
      <c r="C169" s="8"/>
      <c r="D169" s="8"/>
    </row>
    <row r="170" spans="1:10" ht="12.75">
      <c r="A170" s="14" t="s">
        <v>264</v>
      </c>
      <c r="B170" s="143"/>
      <c r="C170" s="14"/>
      <c r="D170" s="14"/>
      <c r="E170" s="143"/>
      <c r="F170" s="14"/>
      <c r="G170" s="51"/>
      <c r="H170" s="314"/>
      <c r="I170" s="14"/>
      <c r="J170" s="14"/>
    </row>
    <row r="172" spans="1:11" ht="12.75">
      <c r="A172" s="1" t="s">
        <v>0</v>
      </c>
      <c r="B172" s="134" t="s">
        <v>1</v>
      </c>
      <c r="C172" s="3" t="s">
        <v>2</v>
      </c>
      <c r="D172" s="4" t="s">
        <v>3</v>
      </c>
      <c r="E172" s="147" t="s">
        <v>4</v>
      </c>
      <c r="F172" s="16" t="s">
        <v>24</v>
      </c>
      <c r="I172" t="s">
        <v>6</v>
      </c>
      <c r="J172" s="12">
        <v>24.8</v>
      </c>
      <c r="K172" s="158" t="s">
        <v>246</v>
      </c>
    </row>
    <row r="173" spans="1:10" ht="12.75">
      <c r="A173" s="6">
        <v>1</v>
      </c>
      <c r="B173" s="138">
        <v>12</v>
      </c>
      <c r="C173" s="8" t="str">
        <f aca="true" t="shared" si="42" ref="C173:C178">IF(OR($B173=0,$B173=""),"",VLOOKUP($B173,ig200m,2,FALSE))</f>
        <v>Isobel Gilkes</v>
      </c>
      <c r="D173" s="8" t="str">
        <f aca="true" t="shared" si="43" ref="D173:D178">IF(OR($B173=0,$B173=""),"",VLOOKUP($B173,ig200m,3,FALSE))</f>
        <v>WOK</v>
      </c>
      <c r="E173" s="148">
        <v>25.5</v>
      </c>
      <c r="F173">
        <v>6</v>
      </c>
      <c r="G173" s="42">
        <f>IF(E173="","",IF(E173&gt;J172,"","CBP"))</f>
      </c>
      <c r="H173" s="315" t="str">
        <f aca="true" t="shared" si="44" ref="H173:H178">IF(E173="","",IF(E173&gt;J$173,"","ESQ"))</f>
        <v>ESQ</v>
      </c>
      <c r="I173" t="s">
        <v>26</v>
      </c>
      <c r="J173" s="12">
        <v>26</v>
      </c>
    </row>
    <row r="174" spans="1:10" ht="12.75">
      <c r="A174" s="6">
        <v>2</v>
      </c>
      <c r="B174" s="138">
        <v>11</v>
      </c>
      <c r="C174" s="8" t="str">
        <f t="shared" si="42"/>
        <v>R Watkins</v>
      </c>
      <c r="D174" s="8" t="str">
        <f t="shared" si="43"/>
        <v>WOK</v>
      </c>
      <c r="E174" s="148">
        <v>26</v>
      </c>
      <c r="F174">
        <v>5</v>
      </c>
      <c r="H174" s="315" t="str">
        <f t="shared" si="44"/>
        <v>ESQ</v>
      </c>
      <c r="J174" s="12"/>
    </row>
    <row r="175" spans="1:10" ht="12.75">
      <c r="A175" s="6">
        <v>3</v>
      </c>
      <c r="B175" s="138">
        <v>9</v>
      </c>
      <c r="C175" s="8" t="str">
        <f t="shared" si="42"/>
        <v>Caitlin McAra</v>
      </c>
      <c r="D175" s="8" t="str">
        <f t="shared" si="43"/>
        <v>W&amp;M</v>
      </c>
      <c r="E175" s="148">
        <v>27.7</v>
      </c>
      <c r="F175">
        <v>4</v>
      </c>
      <c r="H175" s="315">
        <f t="shared" si="44"/>
      </c>
      <c r="J175" s="12"/>
    </row>
    <row r="176" spans="1:10" ht="12.75">
      <c r="A176" s="6">
        <v>4</v>
      </c>
      <c r="B176" s="138">
        <v>3</v>
      </c>
      <c r="C176" s="8" t="str">
        <f t="shared" si="42"/>
        <v>K Angell</v>
      </c>
      <c r="D176" s="8" t="str">
        <f t="shared" si="43"/>
        <v>WB</v>
      </c>
      <c r="E176" s="148">
        <v>28.7</v>
      </c>
      <c r="F176">
        <v>3</v>
      </c>
      <c r="H176" s="315">
        <f t="shared" si="44"/>
      </c>
      <c r="J176" s="12"/>
    </row>
    <row r="177" spans="1:10" ht="12.75">
      <c r="A177" s="6">
        <v>5</v>
      </c>
      <c r="B177" s="138">
        <v>1</v>
      </c>
      <c r="C177" s="8" t="str">
        <f t="shared" si="42"/>
        <v>E Seymour</v>
      </c>
      <c r="D177" s="8" t="str">
        <f t="shared" si="43"/>
        <v>BRK</v>
      </c>
      <c r="E177" s="148">
        <v>29.7</v>
      </c>
      <c r="F177">
        <v>2</v>
      </c>
      <c r="H177" s="315">
        <f t="shared" si="44"/>
      </c>
      <c r="J177" s="12"/>
    </row>
    <row r="178" spans="1:10" ht="12.75">
      <c r="A178" s="6">
        <v>6</v>
      </c>
      <c r="B178" s="138"/>
      <c r="C178" s="8">
        <f t="shared" si="42"/>
      </c>
      <c r="D178" s="8">
        <f t="shared" si="43"/>
      </c>
      <c r="E178" s="148"/>
      <c r="F178">
        <v>1</v>
      </c>
      <c r="H178" s="315">
        <f t="shared" si="44"/>
      </c>
      <c r="J178" s="12"/>
    </row>
    <row r="179" spans="1:10" ht="12.75">
      <c r="A179" s="6"/>
      <c r="B179" s="145"/>
      <c r="C179" s="8"/>
      <c r="D179" s="8"/>
      <c r="E179" s="148"/>
      <c r="J179" s="12"/>
    </row>
    <row r="180" spans="1:18" s="14" customFormat="1" ht="12.75">
      <c r="A180" s="14" t="s">
        <v>45</v>
      </c>
      <c r="B180" s="143"/>
      <c r="E180" s="143"/>
      <c r="G180" s="51"/>
      <c r="H180" s="314"/>
      <c r="K180" s="160"/>
      <c r="Q180" s="51"/>
      <c r="R180" s="51"/>
    </row>
    <row r="182" spans="1:10" ht="12.75">
      <c r="A182" s="14" t="s">
        <v>46</v>
      </c>
      <c r="B182" s="143"/>
      <c r="C182" s="14"/>
      <c r="D182" s="14"/>
      <c r="E182" s="143"/>
      <c r="F182" s="14"/>
      <c r="G182" s="51"/>
      <c r="H182" s="314"/>
      <c r="I182" s="14"/>
      <c r="J182" s="14"/>
    </row>
    <row r="184" spans="1:11" ht="12.75">
      <c r="A184" s="1" t="s">
        <v>0</v>
      </c>
      <c r="B184" s="134" t="s">
        <v>1</v>
      </c>
      <c r="C184" s="3" t="s">
        <v>2</v>
      </c>
      <c r="D184" s="4" t="s">
        <v>3</v>
      </c>
      <c r="E184" s="147" t="s">
        <v>4</v>
      </c>
      <c r="F184" s="16" t="s">
        <v>24</v>
      </c>
      <c r="I184" t="s">
        <v>6</v>
      </c>
      <c r="J184" s="17">
        <v>39.48</v>
      </c>
      <c r="K184" s="161" t="s">
        <v>274</v>
      </c>
    </row>
    <row r="185" spans="1:10" ht="12.75">
      <c r="A185" s="6">
        <v>1</v>
      </c>
      <c r="B185" s="138"/>
      <c r="C185" s="8">
        <f aca="true" t="shared" si="45" ref="C185:C190">IF(OR($B185=0,$B185=""),"",VLOOKUP($B185,ight,2,FALSE))</f>
      </c>
      <c r="D185" s="8">
        <f aca="true" t="shared" si="46" ref="D185:D190">IF(OR($B185=0,$B185=""),"",VLOOKUP($B185,ight,3,FALSE))</f>
      </c>
      <c r="E185" s="151"/>
      <c r="F185">
        <v>6</v>
      </c>
      <c r="G185" s="42">
        <f>IF(E185="","",IF(E185&lt;J184,"","CBP"))</f>
      </c>
      <c r="H185" s="315">
        <f aca="true" t="shared" si="47" ref="H185:H190">IF(E185="","",IF(E185&lt;J$185,"","ESQ"))</f>
      </c>
      <c r="I185" t="s">
        <v>26</v>
      </c>
      <c r="J185" s="17">
        <v>34</v>
      </c>
    </row>
    <row r="186" spans="1:10" ht="12.75">
      <c r="A186" s="6">
        <v>2</v>
      </c>
      <c r="B186" s="138"/>
      <c r="C186" s="8">
        <f t="shared" si="45"/>
      </c>
      <c r="D186" s="8">
        <f t="shared" si="46"/>
      </c>
      <c r="E186" s="151"/>
      <c r="F186">
        <v>5</v>
      </c>
      <c r="H186" s="315">
        <f t="shared" si="47"/>
      </c>
      <c r="J186" s="12"/>
    </row>
    <row r="187" spans="1:10" ht="12.75">
      <c r="A187" s="6">
        <v>3</v>
      </c>
      <c r="B187" s="145"/>
      <c r="C187" s="8">
        <f t="shared" si="45"/>
      </c>
      <c r="D187" s="8">
        <f t="shared" si="46"/>
      </c>
      <c r="E187" s="151"/>
      <c r="F187">
        <v>4</v>
      </c>
      <c r="H187" s="315">
        <f t="shared" si="47"/>
      </c>
      <c r="J187" s="12"/>
    </row>
    <row r="188" spans="1:10" ht="12.75">
      <c r="A188" s="6">
        <v>4</v>
      </c>
      <c r="B188" s="141"/>
      <c r="C188" s="8">
        <f t="shared" si="45"/>
      </c>
      <c r="D188" s="8">
        <f t="shared" si="46"/>
      </c>
      <c r="E188" s="151"/>
      <c r="F188">
        <v>3</v>
      </c>
      <c r="H188" s="315">
        <f t="shared" si="47"/>
      </c>
      <c r="J188" s="12"/>
    </row>
    <row r="189" spans="1:10" ht="12.75">
      <c r="A189" s="6">
        <v>5</v>
      </c>
      <c r="B189" s="132"/>
      <c r="C189" s="8">
        <f t="shared" si="45"/>
      </c>
      <c r="D189" s="8">
        <f t="shared" si="46"/>
      </c>
      <c r="E189" s="151"/>
      <c r="F189">
        <v>2</v>
      </c>
      <c r="H189" s="315">
        <f t="shared" si="47"/>
      </c>
      <c r="J189" s="12"/>
    </row>
    <row r="190" spans="1:10" ht="12.75">
      <c r="A190" s="6">
        <v>6</v>
      </c>
      <c r="B190" s="145"/>
      <c r="C190" s="8">
        <f t="shared" si="45"/>
      </c>
      <c r="D190" s="8">
        <f t="shared" si="46"/>
      </c>
      <c r="E190" s="151"/>
      <c r="F190">
        <v>1</v>
      </c>
      <c r="H190" s="315">
        <f t="shared" si="47"/>
      </c>
      <c r="J190" s="12"/>
    </row>
    <row r="192" spans="1:10" ht="12.75">
      <c r="A192" s="14" t="s">
        <v>47</v>
      </c>
      <c r="B192" s="143"/>
      <c r="C192" s="14"/>
      <c r="D192" s="14"/>
      <c r="E192" s="143"/>
      <c r="F192" s="14"/>
      <c r="G192" s="51"/>
      <c r="H192" s="314"/>
      <c r="I192" s="14"/>
      <c r="J192" s="14"/>
    </row>
    <row r="194" spans="1:11" ht="12.75">
      <c r="A194" s="1" t="s">
        <v>0</v>
      </c>
      <c r="B194" s="134" t="s">
        <v>1</v>
      </c>
      <c r="C194" s="3" t="s">
        <v>2</v>
      </c>
      <c r="D194" s="4" t="s">
        <v>3</v>
      </c>
      <c r="E194" s="147" t="s">
        <v>4</v>
      </c>
      <c r="F194" s="16" t="s">
        <v>24</v>
      </c>
      <c r="I194" t="s">
        <v>6</v>
      </c>
      <c r="J194" s="17">
        <v>5.8</v>
      </c>
      <c r="K194" s="161" t="s">
        <v>736</v>
      </c>
    </row>
    <row r="195" spans="1:10" ht="12.75">
      <c r="A195" s="6">
        <v>1</v>
      </c>
      <c r="B195" s="138">
        <v>5</v>
      </c>
      <c r="C195" s="8" t="str">
        <f aca="true" t="shared" si="48" ref="C195:C206">IF(OR($B195=0,$B195=""),"",VLOOKUP($B195,iglj,2,FALSE))</f>
        <v>Jasmine McCallum</v>
      </c>
      <c r="D195" s="8" t="str">
        <f aca="true" t="shared" si="49" ref="D195:D206">IF(OR($B195=0,$B195=""),"",VLOOKUP($B195,iglj,3,FALSE))</f>
        <v>RDG</v>
      </c>
      <c r="E195" s="151">
        <v>5.05</v>
      </c>
      <c r="F195">
        <v>6</v>
      </c>
      <c r="G195" s="42">
        <f>IF(E195="","",IF(E195&lt;J194,"","CBP"))</f>
      </c>
      <c r="H195" s="315">
        <f aca="true" t="shared" si="50" ref="H195:H203">IF(E195="","",IF(E195&lt;J$195,"","ESQ"))</f>
      </c>
      <c r="I195" t="s">
        <v>26</v>
      </c>
      <c r="J195" s="17">
        <v>5.25</v>
      </c>
    </row>
    <row r="196" spans="1:10" ht="12.75">
      <c r="A196" s="6">
        <v>2</v>
      </c>
      <c r="B196" s="138">
        <v>11</v>
      </c>
      <c r="C196" s="8" t="str">
        <f t="shared" si="48"/>
        <v>E Pitney</v>
      </c>
      <c r="D196" s="8" t="str">
        <f t="shared" si="49"/>
        <v>WOK</v>
      </c>
      <c r="E196" s="151">
        <v>4.56</v>
      </c>
      <c r="F196">
        <v>5</v>
      </c>
      <c r="H196" s="315">
        <f t="shared" si="50"/>
      </c>
      <c r="J196" s="12"/>
    </row>
    <row r="197" spans="1:10" ht="12.75">
      <c r="A197" s="6">
        <v>3</v>
      </c>
      <c r="B197" s="138">
        <v>4</v>
      </c>
      <c r="C197" s="8" t="str">
        <f t="shared" si="48"/>
        <v>J Crossley</v>
      </c>
      <c r="D197" s="8" t="str">
        <f t="shared" si="49"/>
        <v>WB</v>
      </c>
      <c r="E197" s="151">
        <v>4.55</v>
      </c>
      <c r="F197">
        <v>4</v>
      </c>
      <c r="H197" s="315">
        <f t="shared" si="50"/>
      </c>
      <c r="J197" s="12"/>
    </row>
    <row r="198" spans="1:10" ht="12.75">
      <c r="A198" s="6">
        <v>4</v>
      </c>
      <c r="B198" s="138">
        <v>1</v>
      </c>
      <c r="C198" s="8" t="str">
        <f t="shared" si="48"/>
        <v>A Fitzwilliams</v>
      </c>
      <c r="D198" s="8" t="str">
        <f t="shared" si="49"/>
        <v>BRK</v>
      </c>
      <c r="E198" s="151">
        <v>4.5</v>
      </c>
      <c r="F198">
        <v>3</v>
      </c>
      <c r="H198" s="315">
        <f t="shared" si="50"/>
      </c>
      <c r="J198" s="12"/>
    </row>
    <row r="199" spans="1:10" ht="12.75">
      <c r="A199" s="6">
        <v>5</v>
      </c>
      <c r="B199" s="138">
        <v>12</v>
      </c>
      <c r="C199" s="8" t="str">
        <f t="shared" si="48"/>
        <v>A Treylown</v>
      </c>
      <c r="D199" s="8" t="str">
        <f t="shared" si="49"/>
        <v>WOK</v>
      </c>
      <c r="E199" s="151">
        <v>4.35</v>
      </c>
      <c r="F199">
        <v>2</v>
      </c>
      <c r="H199" s="315">
        <f t="shared" si="50"/>
      </c>
      <c r="J199" s="12"/>
    </row>
    <row r="200" spans="1:10" ht="12.75">
      <c r="A200" s="6">
        <v>6</v>
      </c>
      <c r="B200" s="138">
        <v>2</v>
      </c>
      <c r="C200" s="8" t="str">
        <f t="shared" si="48"/>
        <v>G Lewis</v>
      </c>
      <c r="D200" s="8" t="str">
        <f t="shared" si="49"/>
        <v>BRK</v>
      </c>
      <c r="E200" s="151">
        <v>4.32</v>
      </c>
      <c r="F200">
        <v>1</v>
      </c>
      <c r="H200" s="315">
        <f t="shared" si="50"/>
      </c>
      <c r="J200" s="12"/>
    </row>
    <row r="201" spans="1:8" ht="12.75">
      <c r="A201" s="6">
        <v>7</v>
      </c>
      <c r="B201" s="138">
        <v>7</v>
      </c>
      <c r="C201" s="8" t="str">
        <f t="shared" si="48"/>
        <v>Lailau Naroo</v>
      </c>
      <c r="D201" s="8" t="str">
        <f t="shared" si="49"/>
        <v>SL</v>
      </c>
      <c r="E201" s="151">
        <v>3.56</v>
      </c>
      <c r="H201" s="315">
        <f t="shared" si="50"/>
      </c>
    </row>
    <row r="202" spans="1:8" ht="12.75">
      <c r="A202" s="6">
        <v>8</v>
      </c>
      <c r="B202" s="301"/>
      <c r="C202" s="8">
        <f t="shared" si="48"/>
      </c>
      <c r="D202" s="8">
        <f t="shared" si="49"/>
      </c>
      <c r="E202" s="152"/>
      <c r="H202" s="315">
        <f t="shared" si="50"/>
      </c>
    </row>
    <row r="203" spans="1:8" ht="12.75">
      <c r="A203" s="6">
        <v>9</v>
      </c>
      <c r="B203" s="301"/>
      <c r="C203" s="8">
        <f t="shared" si="48"/>
      </c>
      <c r="D203" s="8">
        <f t="shared" si="49"/>
      </c>
      <c r="E203" s="152"/>
      <c r="H203" s="315">
        <f t="shared" si="50"/>
      </c>
    </row>
    <row r="204" spans="1:5" ht="12.75">
      <c r="A204" s="6">
        <v>10</v>
      </c>
      <c r="C204" s="8">
        <f t="shared" si="48"/>
      </c>
      <c r="D204" s="8">
        <f t="shared" si="49"/>
      </c>
      <c r="E204" s="153"/>
    </row>
    <row r="205" spans="1:5" ht="12.75">
      <c r="A205" s="6">
        <v>11</v>
      </c>
      <c r="C205" s="8">
        <f t="shared" si="48"/>
      </c>
      <c r="D205" s="8">
        <f t="shared" si="49"/>
      </c>
      <c r="E205" s="153"/>
    </row>
    <row r="206" spans="1:5" ht="12.75">
      <c r="A206" s="6">
        <v>12</v>
      </c>
      <c r="C206" s="8">
        <f t="shared" si="48"/>
      </c>
      <c r="D206" s="8">
        <f t="shared" si="49"/>
      </c>
      <c r="E206" s="153"/>
    </row>
    <row r="208" spans="1:10" ht="12.75">
      <c r="A208" s="14" t="s">
        <v>48</v>
      </c>
      <c r="B208" s="143"/>
      <c r="C208" s="14"/>
      <c r="D208" s="14"/>
      <c r="E208" s="143"/>
      <c r="F208" s="14"/>
      <c r="G208" s="51"/>
      <c r="H208" s="314"/>
      <c r="I208" s="14"/>
      <c r="J208" s="14"/>
    </row>
    <row r="210" spans="1:11" ht="12.75">
      <c r="A210" s="1" t="s">
        <v>0</v>
      </c>
      <c r="B210" s="134" t="s">
        <v>1</v>
      </c>
      <c r="C210" s="3" t="s">
        <v>2</v>
      </c>
      <c r="D210" s="4" t="s">
        <v>3</v>
      </c>
      <c r="E210" s="147" t="s">
        <v>4</v>
      </c>
      <c r="F210" s="16" t="s">
        <v>24</v>
      </c>
      <c r="I210" t="s">
        <v>6</v>
      </c>
      <c r="J210" s="17">
        <v>45.58</v>
      </c>
      <c r="K210" s="161" t="s">
        <v>277</v>
      </c>
    </row>
    <row r="211" spans="1:10" ht="12.75">
      <c r="A211" s="6">
        <v>1</v>
      </c>
      <c r="B211" s="138">
        <v>3</v>
      </c>
      <c r="C211" s="8" t="str">
        <f aca="true" t="shared" si="51" ref="C211:C222">IF(OR($B211=0,$B211=""),"",VLOOKUP($B211,igdt,2,FALSE))</f>
        <v>Charlotte Payne</v>
      </c>
      <c r="D211" s="8" t="str">
        <f aca="true" t="shared" si="52" ref="D211:D222">IF(OR($B211=0,$B211=""),"",VLOOKUP($B211,igdt,3,FALSE))</f>
        <v>WB</v>
      </c>
      <c r="E211" s="151">
        <v>41.19</v>
      </c>
      <c r="F211">
        <v>6</v>
      </c>
      <c r="G211" s="42">
        <f>IF(E211="","",IF(E211&lt;J210,"","CBP"))</f>
      </c>
      <c r="H211" s="315" t="str">
        <f aca="true" t="shared" si="53" ref="H211:H217">IF(E211="","",IF(E211&lt;J$211,"","ESQ"))</f>
        <v>ESQ</v>
      </c>
      <c r="I211" t="s">
        <v>26</v>
      </c>
      <c r="J211" s="17">
        <v>33</v>
      </c>
    </row>
    <row r="212" spans="1:10" ht="12.75">
      <c r="A212" s="6">
        <v>2</v>
      </c>
      <c r="B212" s="138">
        <v>4</v>
      </c>
      <c r="C212" s="8" t="str">
        <f t="shared" si="51"/>
        <v>KJ Stevens</v>
      </c>
      <c r="D212" s="8" t="str">
        <f t="shared" si="52"/>
        <v>WB</v>
      </c>
      <c r="E212" s="151">
        <v>27.72</v>
      </c>
      <c r="F212">
        <v>5</v>
      </c>
      <c r="H212" s="315">
        <f t="shared" si="53"/>
      </c>
      <c r="J212" s="12"/>
    </row>
    <row r="213" spans="1:10" ht="12.75">
      <c r="A213" s="6">
        <v>3</v>
      </c>
      <c r="B213" s="138">
        <v>2</v>
      </c>
      <c r="C213" s="8" t="str">
        <f t="shared" si="51"/>
        <v>E Spencer-Jones</v>
      </c>
      <c r="D213" s="8" t="str">
        <f t="shared" si="52"/>
        <v>BRK</v>
      </c>
      <c r="E213" s="151">
        <v>25.34</v>
      </c>
      <c r="F213">
        <v>4</v>
      </c>
      <c r="H213" s="315">
        <f t="shared" si="53"/>
      </c>
      <c r="J213" s="12"/>
    </row>
    <row r="214" spans="1:10" ht="12.75">
      <c r="A214" s="6">
        <v>4</v>
      </c>
      <c r="B214" s="138">
        <v>6</v>
      </c>
      <c r="C214" s="8" t="str">
        <f t="shared" si="51"/>
        <v>Sophie Lange</v>
      </c>
      <c r="D214" s="8" t="str">
        <f t="shared" si="52"/>
        <v>RDG</v>
      </c>
      <c r="E214" s="151">
        <v>23.62</v>
      </c>
      <c r="F214">
        <v>3</v>
      </c>
      <c r="H214" s="315">
        <f t="shared" si="53"/>
      </c>
      <c r="J214" s="12"/>
    </row>
    <row r="215" spans="1:10" ht="12.75">
      <c r="A215" s="6">
        <v>5</v>
      </c>
      <c r="B215" s="138">
        <v>9</v>
      </c>
      <c r="C215" s="8" t="str">
        <f t="shared" si="51"/>
        <v>Sophie Tunn</v>
      </c>
      <c r="D215" s="8" t="str">
        <f t="shared" si="52"/>
        <v>W&amp;M</v>
      </c>
      <c r="E215" s="151">
        <v>17.89</v>
      </c>
      <c r="F215">
        <v>2</v>
      </c>
      <c r="H215" s="315">
        <f t="shared" si="53"/>
      </c>
      <c r="J215" s="12"/>
    </row>
    <row r="216" spans="1:10" ht="12.75">
      <c r="A216" s="6">
        <v>6</v>
      </c>
      <c r="B216" s="138">
        <v>10</v>
      </c>
      <c r="C216" s="8" t="str">
        <f t="shared" si="51"/>
        <v>Mia Taylor-Warner</v>
      </c>
      <c r="D216" s="8" t="str">
        <f t="shared" si="52"/>
        <v>W&amp;M</v>
      </c>
      <c r="E216" s="151">
        <v>17.69</v>
      </c>
      <c r="F216">
        <v>1</v>
      </c>
      <c r="H216" s="315">
        <f t="shared" si="53"/>
      </c>
      <c r="J216" s="12"/>
    </row>
    <row r="217" spans="1:8" ht="12.75">
      <c r="A217" s="6">
        <v>7</v>
      </c>
      <c r="B217" s="138">
        <v>1</v>
      </c>
      <c r="C217" s="8" t="str">
        <f t="shared" si="51"/>
        <v>B Howland-Jackson</v>
      </c>
      <c r="D217" s="8" t="str">
        <f t="shared" si="52"/>
        <v>BRK</v>
      </c>
      <c r="E217" s="151">
        <v>0</v>
      </c>
      <c r="H217" s="315">
        <f t="shared" si="53"/>
      </c>
    </row>
    <row r="218" spans="1:5" ht="12.75">
      <c r="A218" s="6">
        <v>8</v>
      </c>
      <c r="B218" s="138"/>
      <c r="C218" s="8">
        <f t="shared" si="51"/>
      </c>
      <c r="D218" s="8">
        <f t="shared" si="52"/>
      </c>
      <c r="E218" s="151"/>
    </row>
    <row r="219" spans="1:5" ht="12.75">
      <c r="A219" s="6">
        <v>9</v>
      </c>
      <c r="B219" s="138"/>
      <c r="C219" s="8">
        <f t="shared" si="51"/>
      </c>
      <c r="D219" s="8">
        <f t="shared" si="52"/>
      </c>
      <c r="E219" s="151"/>
    </row>
    <row r="220" spans="1:5" ht="12.75">
      <c r="A220" s="6">
        <v>10</v>
      </c>
      <c r="B220" s="138"/>
      <c r="C220" s="8">
        <f t="shared" si="51"/>
      </c>
      <c r="D220" s="8">
        <f t="shared" si="52"/>
      </c>
      <c r="E220" s="151"/>
    </row>
    <row r="221" spans="1:5" ht="12.75">
      <c r="A221" s="6">
        <v>11</v>
      </c>
      <c r="B221" s="138"/>
      <c r="C221" s="8">
        <f t="shared" si="51"/>
      </c>
      <c r="D221" s="8">
        <f t="shared" si="52"/>
      </c>
      <c r="E221" s="151"/>
    </row>
    <row r="222" spans="1:5" ht="12.75">
      <c r="A222" s="6">
        <v>12</v>
      </c>
      <c r="C222" s="8">
        <f t="shared" si="51"/>
      </c>
      <c r="D222" s="8">
        <f t="shared" si="52"/>
      </c>
      <c r="E222" s="153"/>
    </row>
    <row r="224" spans="1:10" ht="12.75">
      <c r="A224" s="14" t="s">
        <v>143</v>
      </c>
      <c r="B224" s="143"/>
      <c r="C224" s="14"/>
      <c r="D224" s="14"/>
      <c r="E224" s="143"/>
      <c r="F224" s="14"/>
      <c r="G224" s="51"/>
      <c r="H224" s="314"/>
      <c r="I224" s="14"/>
      <c r="J224" s="14"/>
    </row>
    <row r="226" spans="1:11" ht="12.75">
      <c r="A226" s="1" t="s">
        <v>0</v>
      </c>
      <c r="B226" s="134" t="s">
        <v>1</v>
      </c>
      <c r="C226" s="3" t="s">
        <v>2</v>
      </c>
      <c r="D226" s="4" t="s">
        <v>3</v>
      </c>
      <c r="E226" s="147" t="s">
        <v>4</v>
      </c>
      <c r="F226" s="16" t="s">
        <v>24</v>
      </c>
      <c r="I226" t="s">
        <v>6</v>
      </c>
      <c r="J226" s="17">
        <v>3</v>
      </c>
      <c r="K226" s="161" t="s">
        <v>329</v>
      </c>
    </row>
    <row r="227" spans="1:10" ht="12.75">
      <c r="A227" s="6">
        <v>1</v>
      </c>
      <c r="B227" s="138">
        <v>5</v>
      </c>
      <c r="C227" s="8" t="str">
        <f aca="true" t="shared" si="54" ref="C227:C232">IF(OR($B227=0,$B227=""),"",VLOOKUP($B227,igPV,2,FALSE))</f>
        <v>Trinity O'Connor</v>
      </c>
      <c r="D227" s="8" t="str">
        <f aca="true" t="shared" si="55" ref="D227:D232">IF(OR($B227=0,$B227=""),"",VLOOKUP($B227,igPV,3,FALSE))</f>
        <v>RDG</v>
      </c>
      <c r="E227" s="151">
        <v>2.8</v>
      </c>
      <c r="F227">
        <v>6</v>
      </c>
      <c r="G227" s="42">
        <f>IF(E227="","",IF(E227&lt;J226,"","CBP"))</f>
      </c>
      <c r="H227" s="315" t="str">
        <f aca="true" t="shared" si="56" ref="H227:H232">IF(E227="","",IF(E227&lt;J$227,"","ESQ"))</f>
        <v>ESQ</v>
      </c>
      <c r="I227" t="s">
        <v>26</v>
      </c>
      <c r="J227" s="17">
        <v>2.8</v>
      </c>
    </row>
    <row r="228" spans="1:10" ht="12.75">
      <c r="A228" s="6">
        <v>2</v>
      </c>
      <c r="B228" s="138">
        <v>11</v>
      </c>
      <c r="C228" s="8" t="str">
        <f t="shared" si="54"/>
        <v>S Pritchard</v>
      </c>
      <c r="D228" s="8" t="str">
        <f t="shared" si="55"/>
        <v>WOK</v>
      </c>
      <c r="E228" s="151">
        <v>2.6</v>
      </c>
      <c r="F228">
        <v>5</v>
      </c>
      <c r="H228" s="315">
        <f t="shared" si="56"/>
      </c>
      <c r="J228" s="12"/>
    </row>
    <row r="229" spans="1:10" ht="12.75">
      <c r="A229" s="6">
        <v>3</v>
      </c>
      <c r="B229" s="145">
        <v>2</v>
      </c>
      <c r="C229" s="8" t="str">
        <f t="shared" si="54"/>
        <v>E Kenyon-Slaney</v>
      </c>
      <c r="D229" s="8" t="str">
        <f t="shared" si="55"/>
        <v>BRK</v>
      </c>
      <c r="E229" s="151">
        <v>2.4</v>
      </c>
      <c r="F229">
        <v>4</v>
      </c>
      <c r="H229" s="315">
        <f t="shared" si="56"/>
      </c>
      <c r="J229" s="12"/>
    </row>
    <row r="230" spans="1:10" ht="12.75">
      <c r="A230" s="6">
        <v>4</v>
      </c>
      <c r="B230" s="141">
        <v>1</v>
      </c>
      <c r="C230" s="8" t="str">
        <f t="shared" si="54"/>
        <v>C Kelly</v>
      </c>
      <c r="D230" s="8" t="str">
        <f t="shared" si="55"/>
        <v>BRK</v>
      </c>
      <c r="E230" s="151">
        <v>2.4</v>
      </c>
      <c r="F230">
        <v>3</v>
      </c>
      <c r="H230" s="315">
        <f t="shared" si="56"/>
      </c>
      <c r="J230" s="12"/>
    </row>
    <row r="231" spans="1:10" ht="12.75">
      <c r="A231" s="6">
        <v>5</v>
      </c>
      <c r="B231" s="132" t="s">
        <v>1397</v>
      </c>
      <c r="C231" s="8" t="str">
        <f t="shared" si="54"/>
        <v>C Spratt</v>
      </c>
      <c r="D231" s="8" t="str">
        <f t="shared" si="55"/>
        <v>BRK</v>
      </c>
      <c r="E231" s="151">
        <v>2.3</v>
      </c>
      <c r="F231">
        <v>2</v>
      </c>
      <c r="H231" s="315">
        <f t="shared" si="56"/>
      </c>
      <c r="J231" s="12"/>
    </row>
    <row r="232" spans="1:10" ht="12.75">
      <c r="A232" s="6">
        <v>6</v>
      </c>
      <c r="B232" s="145"/>
      <c r="C232" s="8">
        <f t="shared" si="54"/>
      </c>
      <c r="D232" s="8">
        <f t="shared" si="55"/>
      </c>
      <c r="E232" s="151"/>
      <c r="F232">
        <v>1</v>
      </c>
      <c r="H232" s="315">
        <f t="shared" si="56"/>
      </c>
      <c r="J232" s="12"/>
    </row>
    <row r="234" spans="1:10" ht="12.75">
      <c r="A234" s="14" t="s">
        <v>57</v>
      </c>
      <c r="B234" s="143"/>
      <c r="C234" s="14"/>
      <c r="D234" s="14"/>
      <c r="E234" s="143"/>
      <c r="F234" s="14"/>
      <c r="G234" s="51"/>
      <c r="H234" s="314"/>
      <c r="I234" s="14"/>
      <c r="J234" s="14"/>
    </row>
    <row r="236" spans="1:10" ht="12.75">
      <c r="A236" s="1" t="s">
        <v>0</v>
      </c>
      <c r="B236" s="134" t="s">
        <v>1</v>
      </c>
      <c r="C236" s="3" t="s">
        <v>2</v>
      </c>
      <c r="D236" s="4" t="s">
        <v>3</v>
      </c>
      <c r="E236" s="147" t="s">
        <v>4</v>
      </c>
      <c r="F236" s="16" t="s">
        <v>24</v>
      </c>
      <c r="I236" t="s">
        <v>6</v>
      </c>
      <c r="J236" s="17">
        <v>32.14</v>
      </c>
    </row>
    <row r="237" spans="1:10" ht="12.75">
      <c r="A237" s="6">
        <v>1</v>
      </c>
      <c r="B237" s="138">
        <v>11</v>
      </c>
      <c r="C237" s="8" t="str">
        <f aca="true" t="shared" si="57" ref="C237:C248">IF(OR($B237=0,$B237=""),"",VLOOKUP($B237,igjt,2,FALSE))</f>
        <v>Charlotte West</v>
      </c>
      <c r="D237" s="8" t="str">
        <f aca="true" t="shared" si="58" ref="D237:D248">IF(OR($B237=0,$B237=""),"",VLOOKUP($B237,igjt,3,FALSE))</f>
        <v>WOK</v>
      </c>
      <c r="E237" s="151">
        <v>41.45</v>
      </c>
      <c r="F237">
        <v>6</v>
      </c>
      <c r="G237" s="42" t="str">
        <f>IF(E237="","",IF(E237&lt;J236,"","CBP"))</f>
        <v>CBP</v>
      </c>
      <c r="H237" s="315" t="str">
        <f aca="true" t="shared" si="59" ref="H237:H245">IF(E237="","",IF(E237&lt;J$237,"","ESQ"))</f>
        <v>ESQ</v>
      </c>
      <c r="I237" t="s">
        <v>26</v>
      </c>
      <c r="J237" s="17">
        <v>35</v>
      </c>
    </row>
    <row r="238" spans="1:10" ht="12.75">
      <c r="A238" s="6">
        <v>2</v>
      </c>
      <c r="B238" s="138">
        <v>12</v>
      </c>
      <c r="C238" s="8" t="str">
        <f t="shared" si="57"/>
        <v>E Leesen</v>
      </c>
      <c r="D238" s="8" t="str">
        <f t="shared" si="58"/>
        <v>WOK</v>
      </c>
      <c r="E238" s="151">
        <v>37.53</v>
      </c>
      <c r="F238">
        <v>5</v>
      </c>
      <c r="H238" s="315" t="str">
        <f t="shared" si="59"/>
        <v>ESQ</v>
      </c>
      <c r="J238" s="12"/>
    </row>
    <row r="239" spans="1:10" ht="12.75">
      <c r="A239" s="6">
        <v>3</v>
      </c>
      <c r="B239" s="138">
        <v>9</v>
      </c>
      <c r="C239" s="8" t="str">
        <f t="shared" si="57"/>
        <v>Jodie Smith</v>
      </c>
      <c r="D239" s="8" t="str">
        <f t="shared" si="58"/>
        <v>W&amp;M</v>
      </c>
      <c r="E239" s="151">
        <v>34.35</v>
      </c>
      <c r="F239">
        <v>4</v>
      </c>
      <c r="H239" s="315">
        <f t="shared" si="59"/>
      </c>
      <c r="J239" s="12"/>
    </row>
    <row r="240" spans="1:10" ht="12.75">
      <c r="A240" s="6">
        <v>4</v>
      </c>
      <c r="B240" s="138">
        <v>1</v>
      </c>
      <c r="C240" s="8" t="str">
        <f t="shared" si="57"/>
        <v>A Mitchell</v>
      </c>
      <c r="D240" s="8" t="str">
        <f t="shared" si="58"/>
        <v>BRK</v>
      </c>
      <c r="E240" s="151">
        <v>27.55</v>
      </c>
      <c r="F240">
        <v>3</v>
      </c>
      <c r="H240" s="315">
        <f t="shared" si="59"/>
      </c>
      <c r="J240" s="12"/>
    </row>
    <row r="241" spans="1:10" ht="12.75">
      <c r="A241" s="6">
        <v>5</v>
      </c>
      <c r="B241" s="138">
        <v>4</v>
      </c>
      <c r="C241" s="8" t="str">
        <f t="shared" si="57"/>
        <v>A Livingstone</v>
      </c>
      <c r="D241" s="8" t="str">
        <f t="shared" si="58"/>
        <v>WB</v>
      </c>
      <c r="E241" s="151">
        <v>27.05</v>
      </c>
      <c r="F241">
        <v>2</v>
      </c>
      <c r="H241" s="315">
        <f t="shared" si="59"/>
      </c>
      <c r="J241" s="12"/>
    </row>
    <row r="242" spans="1:10" ht="12.75">
      <c r="A242" s="6">
        <v>6</v>
      </c>
      <c r="B242" s="138">
        <v>10</v>
      </c>
      <c r="C242" s="8" t="str">
        <f t="shared" si="57"/>
        <v>Annabella Pettipher</v>
      </c>
      <c r="D242" s="8" t="str">
        <f t="shared" si="58"/>
        <v>W&amp;M</v>
      </c>
      <c r="E242" s="151">
        <v>26.47</v>
      </c>
      <c r="F242">
        <v>1</v>
      </c>
      <c r="H242" s="315">
        <f t="shared" si="59"/>
      </c>
      <c r="J242" s="12"/>
    </row>
    <row r="243" spans="1:8" ht="12.75">
      <c r="A243" s="6">
        <v>7</v>
      </c>
      <c r="B243" s="138">
        <v>2</v>
      </c>
      <c r="C243" s="8" t="str">
        <f t="shared" si="57"/>
        <v>A de la Chaise</v>
      </c>
      <c r="D243" s="8" t="str">
        <f t="shared" si="58"/>
        <v>BRK</v>
      </c>
      <c r="E243" s="151">
        <v>21.83</v>
      </c>
      <c r="H243" s="315">
        <f t="shared" si="59"/>
      </c>
    </row>
    <row r="244" spans="1:8" ht="12.75">
      <c r="A244" s="6">
        <v>8</v>
      </c>
      <c r="B244" s="138">
        <v>5</v>
      </c>
      <c r="C244" s="8" t="str">
        <f t="shared" si="57"/>
        <v>Lauren Bullock</v>
      </c>
      <c r="D244" s="8" t="str">
        <f t="shared" si="58"/>
        <v>RDG</v>
      </c>
      <c r="E244" s="151">
        <v>19.62</v>
      </c>
      <c r="H244" s="315">
        <f t="shared" si="59"/>
      </c>
    </row>
    <row r="245" spans="1:8" ht="12.75">
      <c r="A245" s="6">
        <v>9</v>
      </c>
      <c r="B245" s="301">
        <v>3</v>
      </c>
      <c r="C245" s="8" t="str">
        <f t="shared" si="57"/>
        <v>M Hanham</v>
      </c>
      <c r="D245" s="8" t="str">
        <f t="shared" si="58"/>
        <v>WB</v>
      </c>
      <c r="E245" s="152">
        <v>19.59</v>
      </c>
      <c r="H245" s="315">
        <f t="shared" si="59"/>
      </c>
    </row>
    <row r="246" spans="1:5" ht="12.75">
      <c r="A246" s="6">
        <v>10</v>
      </c>
      <c r="C246" s="8">
        <f t="shared" si="57"/>
      </c>
      <c r="D246" s="8">
        <f t="shared" si="58"/>
      </c>
      <c r="E246" s="153"/>
    </row>
    <row r="247" spans="1:5" ht="12.75">
      <c r="A247" s="6">
        <v>11</v>
      </c>
      <c r="C247" s="8">
        <f t="shared" si="57"/>
      </c>
      <c r="D247" s="8">
        <f t="shared" si="58"/>
      </c>
      <c r="E247" s="153"/>
    </row>
    <row r="248" spans="1:5" ht="12.75">
      <c r="A248" s="6">
        <v>12</v>
      </c>
      <c r="C248" s="8">
        <f t="shared" si="57"/>
      </c>
      <c r="D248" s="8">
        <f t="shared" si="58"/>
      </c>
      <c r="E248" s="153"/>
    </row>
    <row r="250" spans="1:10" ht="12.75">
      <c r="A250" s="14" t="s">
        <v>60</v>
      </c>
      <c r="B250" s="143"/>
      <c r="C250" s="14"/>
      <c r="D250" s="14"/>
      <c r="E250" s="143"/>
      <c r="F250" s="14"/>
      <c r="G250" s="51"/>
      <c r="H250" s="314"/>
      <c r="I250" s="14"/>
      <c r="J250" s="14"/>
    </row>
    <row r="252" spans="1:11" ht="12.75">
      <c r="A252" s="1" t="s">
        <v>0</v>
      </c>
      <c r="B252" s="134" t="s">
        <v>1</v>
      </c>
      <c r="C252" s="3" t="s">
        <v>2</v>
      </c>
      <c r="D252" s="4" t="s">
        <v>3</v>
      </c>
      <c r="E252" s="147" t="s">
        <v>4</v>
      </c>
      <c r="F252" s="16" t="s">
        <v>24</v>
      </c>
      <c r="I252" t="s">
        <v>6</v>
      </c>
      <c r="J252" s="17">
        <v>1.7</v>
      </c>
      <c r="K252" s="161" t="s">
        <v>295</v>
      </c>
    </row>
    <row r="253" spans="1:10" ht="12.75">
      <c r="A253" s="6">
        <v>1</v>
      </c>
      <c r="B253" s="138">
        <v>5</v>
      </c>
      <c r="C253" s="8" t="str">
        <f aca="true" t="shared" si="60" ref="C253:C263">IF(OR($B253=0,$B253=""),"",VLOOKUP($B253,ighj,2,FALSE))</f>
        <v>Isabell Church</v>
      </c>
      <c r="D253" s="8" t="str">
        <f aca="true" t="shared" si="61" ref="D253:D264">IF(OR($B253=0,$B253=""),"",VLOOKUP($B253,ighj,3,FALSE))</f>
        <v>RDG</v>
      </c>
      <c r="E253" s="151">
        <v>1.62</v>
      </c>
      <c r="F253">
        <v>6</v>
      </c>
      <c r="G253" s="42">
        <f>IF(E253="","",IF(E253&lt;J252,"","CBP"))</f>
      </c>
      <c r="H253" s="315" t="str">
        <f aca="true" t="shared" si="62" ref="H253:H259">IF(E253="","",IF(E253&lt;J$253,"","ESQ"))</f>
        <v>ESQ</v>
      </c>
      <c r="I253" t="s">
        <v>26</v>
      </c>
      <c r="J253" s="17">
        <v>1.62</v>
      </c>
    </row>
    <row r="254" spans="1:10" ht="12.75">
      <c r="A254" s="6">
        <v>2</v>
      </c>
      <c r="B254" s="138">
        <v>1</v>
      </c>
      <c r="C254" s="8" t="str">
        <f t="shared" si="60"/>
        <v>I Elwes</v>
      </c>
      <c r="D254" s="8" t="str">
        <f t="shared" si="61"/>
        <v>BRK</v>
      </c>
      <c r="E254" s="151">
        <v>1.45</v>
      </c>
      <c r="F254">
        <v>5</v>
      </c>
      <c r="H254" s="315">
        <f t="shared" si="62"/>
      </c>
      <c r="J254" s="12"/>
    </row>
    <row r="255" spans="1:10" ht="12.75">
      <c r="A255" s="6">
        <v>3</v>
      </c>
      <c r="B255" s="138">
        <v>3</v>
      </c>
      <c r="C255" s="8" t="str">
        <f t="shared" si="60"/>
        <v>O Clegg</v>
      </c>
      <c r="D255" s="8" t="str">
        <f t="shared" si="61"/>
        <v>WB</v>
      </c>
      <c r="E255" s="151">
        <v>1.45</v>
      </c>
      <c r="F255">
        <v>4</v>
      </c>
      <c r="H255" s="315">
        <f t="shared" si="62"/>
      </c>
      <c r="J255" s="12"/>
    </row>
    <row r="256" spans="1:10" ht="12.75">
      <c r="A256" s="6">
        <v>4</v>
      </c>
      <c r="B256" s="138">
        <v>12</v>
      </c>
      <c r="C256" s="8" t="str">
        <f t="shared" si="60"/>
        <v>G Frost</v>
      </c>
      <c r="D256" s="8" t="str">
        <f t="shared" si="61"/>
        <v>WOK</v>
      </c>
      <c r="E256" s="151">
        <v>1.45</v>
      </c>
      <c r="F256">
        <v>3</v>
      </c>
      <c r="H256" s="315">
        <f t="shared" si="62"/>
      </c>
      <c r="J256" s="12"/>
    </row>
    <row r="257" spans="1:10" ht="12.75">
      <c r="A257" s="6">
        <v>5</v>
      </c>
      <c r="B257" s="138">
        <v>4</v>
      </c>
      <c r="C257" s="8" t="str">
        <f t="shared" si="60"/>
        <v>R McBowin</v>
      </c>
      <c r="D257" s="8" t="str">
        <f t="shared" si="61"/>
        <v>WB</v>
      </c>
      <c r="E257" s="151">
        <v>1.4</v>
      </c>
      <c r="F257">
        <v>2</v>
      </c>
      <c r="H257" s="315">
        <f t="shared" si="62"/>
      </c>
      <c r="J257" s="12"/>
    </row>
    <row r="258" spans="1:10" ht="12.75">
      <c r="A258" s="6">
        <v>6</v>
      </c>
      <c r="B258" s="145">
        <v>2</v>
      </c>
      <c r="C258" s="8" t="str">
        <f t="shared" si="60"/>
        <v>I Idle</v>
      </c>
      <c r="D258" s="8" t="str">
        <f t="shared" si="61"/>
        <v>BRK</v>
      </c>
      <c r="E258" s="151">
        <v>1.35</v>
      </c>
      <c r="F258">
        <v>1</v>
      </c>
      <c r="H258" s="315">
        <f t="shared" si="62"/>
      </c>
      <c r="J258" s="12"/>
    </row>
    <row r="259" spans="1:8" ht="12.75">
      <c r="A259" s="6">
        <v>7</v>
      </c>
      <c r="B259" s="301">
        <v>10</v>
      </c>
      <c r="C259" s="8" t="str">
        <f t="shared" si="60"/>
        <v>Laura House</v>
      </c>
      <c r="D259" s="8" t="str">
        <f t="shared" si="61"/>
        <v>W&amp;M</v>
      </c>
      <c r="E259" s="152">
        <v>1.35</v>
      </c>
      <c r="H259" s="315">
        <f t="shared" si="62"/>
      </c>
    </row>
    <row r="260" spans="1:5" ht="12.75">
      <c r="A260" s="6">
        <v>8</v>
      </c>
      <c r="C260" s="8">
        <f t="shared" si="60"/>
      </c>
      <c r="D260" s="8">
        <f t="shared" si="61"/>
      </c>
      <c r="E260" s="153"/>
    </row>
    <row r="261" spans="1:5" ht="12.75">
      <c r="A261" s="6">
        <v>9</v>
      </c>
      <c r="C261" s="8">
        <f t="shared" si="60"/>
      </c>
      <c r="D261" s="8">
        <f t="shared" si="61"/>
      </c>
      <c r="E261" s="153"/>
    </row>
    <row r="262" spans="1:5" ht="12.75">
      <c r="A262" s="6">
        <v>10</v>
      </c>
      <c r="C262" s="8">
        <f t="shared" si="60"/>
      </c>
      <c r="D262" s="8">
        <f t="shared" si="61"/>
      </c>
      <c r="E262" s="153"/>
    </row>
    <row r="263" spans="1:5" ht="12.75">
      <c r="A263" s="6">
        <v>11</v>
      </c>
      <c r="C263" s="8">
        <f t="shared" si="60"/>
      </c>
      <c r="D263" s="8">
        <f t="shared" si="61"/>
      </c>
      <c r="E263" s="153"/>
    </row>
    <row r="264" spans="1:5" ht="12.75">
      <c r="A264" s="6">
        <v>12</v>
      </c>
      <c r="C264" s="8">
        <f>IF(OR($B264=0,$B264=""),"",VLOOKUP($B264,ihj,2,FALSE))</f>
      </c>
      <c r="D264" s="8">
        <f t="shared" si="61"/>
      </c>
      <c r="E264" s="153"/>
    </row>
    <row r="266" spans="1:10" ht="12.75">
      <c r="A266" s="14" t="s">
        <v>1400</v>
      </c>
      <c r="B266" s="143"/>
      <c r="C266" s="14"/>
      <c r="D266" s="14"/>
      <c r="E266" s="143"/>
      <c r="F266" s="14"/>
      <c r="G266" s="51"/>
      <c r="H266" s="314"/>
      <c r="I266" s="14"/>
      <c r="J266" s="14"/>
    </row>
    <row r="268" spans="1:11" ht="12.75">
      <c r="A268" s="1" t="s">
        <v>0</v>
      </c>
      <c r="B268" s="134" t="s">
        <v>1</v>
      </c>
      <c r="C268" s="3" t="s">
        <v>2</v>
      </c>
      <c r="D268" s="4" t="s">
        <v>3</v>
      </c>
      <c r="E268" s="147" t="s">
        <v>4</v>
      </c>
      <c r="F268" s="16" t="s">
        <v>24</v>
      </c>
      <c r="I268" t="s">
        <v>6</v>
      </c>
      <c r="J268" s="17">
        <v>10.92</v>
      </c>
      <c r="K268" s="161" t="s">
        <v>1399</v>
      </c>
    </row>
    <row r="269" spans="1:10" ht="12.75">
      <c r="A269" s="6">
        <v>1</v>
      </c>
      <c r="B269" s="138">
        <v>5</v>
      </c>
      <c r="C269" s="8" t="str">
        <f aca="true" t="shared" si="63" ref="C269:C280">IF(OR($B269=0,$B269=""),"",VLOOKUP($B269,igsp,2,FALSE))</f>
        <v>Angela Lowe</v>
      </c>
      <c r="D269" s="8" t="str">
        <f aca="true" t="shared" si="64" ref="D269:D280">IF(OR($B269=0,$B269=""),"",VLOOKUP($B269,igsp,3,FALSE))</f>
        <v>RDG</v>
      </c>
      <c r="E269" s="151">
        <v>11.62</v>
      </c>
      <c r="F269">
        <v>6</v>
      </c>
      <c r="G269" s="42" t="str">
        <f>IF(E269="","",IF(E269&lt;J268,"","CBP"))</f>
        <v>CBP</v>
      </c>
      <c r="H269" s="315" t="str">
        <f aca="true" t="shared" si="65" ref="H269:H277">IF(E269="","",IF(E269&lt;J$269,"","ESQ"))</f>
        <v>ESQ</v>
      </c>
      <c r="I269" t="s">
        <v>26</v>
      </c>
      <c r="J269" s="17">
        <v>11</v>
      </c>
    </row>
    <row r="270" spans="1:10" ht="12.75">
      <c r="A270" s="6">
        <v>2</v>
      </c>
      <c r="B270" s="138">
        <v>11</v>
      </c>
      <c r="C270" s="8" t="str">
        <f t="shared" si="63"/>
        <v>L Spratley-Kemp</v>
      </c>
      <c r="D270" s="8" t="str">
        <f t="shared" si="64"/>
        <v>WOK</v>
      </c>
      <c r="E270" s="151">
        <v>11.26</v>
      </c>
      <c r="F270">
        <v>5</v>
      </c>
      <c r="H270" s="315" t="str">
        <f t="shared" si="65"/>
        <v>ESQ</v>
      </c>
      <c r="J270" s="12"/>
    </row>
    <row r="271" spans="1:10" ht="12.75">
      <c r="A271" s="6">
        <v>3</v>
      </c>
      <c r="B271" s="138">
        <v>3</v>
      </c>
      <c r="C271" s="8" t="str">
        <f t="shared" si="63"/>
        <v>M Eldridge</v>
      </c>
      <c r="D271" s="8" t="str">
        <f t="shared" si="64"/>
        <v>WB</v>
      </c>
      <c r="E271" s="151">
        <v>11.04</v>
      </c>
      <c r="F271">
        <v>4</v>
      </c>
      <c r="H271" s="315" t="str">
        <f t="shared" si="65"/>
        <v>ESQ</v>
      </c>
      <c r="J271" s="12"/>
    </row>
    <row r="272" spans="1:10" ht="12.75">
      <c r="A272" s="6">
        <v>4</v>
      </c>
      <c r="B272" s="138">
        <v>1</v>
      </c>
      <c r="C272" s="8" t="str">
        <f t="shared" si="63"/>
        <v>A Watson</v>
      </c>
      <c r="D272" s="8" t="str">
        <f t="shared" si="64"/>
        <v>BRK</v>
      </c>
      <c r="E272" s="151">
        <v>10.16</v>
      </c>
      <c r="F272">
        <v>3</v>
      </c>
      <c r="H272" s="315">
        <f t="shared" si="65"/>
      </c>
      <c r="J272" s="12"/>
    </row>
    <row r="273" spans="1:10" ht="12.75">
      <c r="A273" s="6">
        <v>5</v>
      </c>
      <c r="B273" s="138">
        <v>12</v>
      </c>
      <c r="C273" s="8" t="str">
        <f t="shared" si="63"/>
        <v>B Abnett</v>
      </c>
      <c r="D273" s="8" t="str">
        <f t="shared" si="64"/>
        <v>WOK</v>
      </c>
      <c r="E273" s="151">
        <v>8.81</v>
      </c>
      <c r="F273">
        <v>2</v>
      </c>
      <c r="H273" s="315">
        <f t="shared" si="65"/>
      </c>
      <c r="J273" s="12"/>
    </row>
    <row r="274" spans="1:10" ht="12.75">
      <c r="A274" s="6">
        <v>6</v>
      </c>
      <c r="B274" s="138">
        <v>2</v>
      </c>
      <c r="C274" s="8" t="str">
        <f t="shared" si="63"/>
        <v>C Cuthill</v>
      </c>
      <c r="D274" s="8" t="str">
        <f t="shared" si="64"/>
        <v>BRK</v>
      </c>
      <c r="E274" s="151">
        <v>7.79</v>
      </c>
      <c r="F274">
        <v>1</v>
      </c>
      <c r="H274" s="315">
        <f t="shared" si="65"/>
      </c>
      <c r="J274" s="12"/>
    </row>
    <row r="275" spans="1:8" ht="12.75">
      <c r="A275" s="6">
        <v>7</v>
      </c>
      <c r="B275" s="138">
        <v>4</v>
      </c>
      <c r="C275" s="8" t="str">
        <f t="shared" si="63"/>
        <v>I Doherty</v>
      </c>
      <c r="D275" s="8" t="str">
        <f t="shared" si="64"/>
        <v>WB</v>
      </c>
      <c r="E275" s="151">
        <v>6.84</v>
      </c>
      <c r="H275" s="315">
        <f t="shared" si="65"/>
      </c>
    </row>
    <row r="276" spans="1:8" ht="12.75">
      <c r="A276" s="6">
        <v>8</v>
      </c>
      <c r="B276" s="138">
        <v>6</v>
      </c>
      <c r="C276" s="8" t="str">
        <f t="shared" si="63"/>
        <v>Rorie Tuckwell</v>
      </c>
      <c r="D276" s="8" t="str">
        <f t="shared" si="64"/>
        <v>RDG</v>
      </c>
      <c r="E276" s="151">
        <v>6.45</v>
      </c>
      <c r="H276" s="315">
        <f t="shared" si="65"/>
      </c>
    </row>
    <row r="277" spans="1:8" ht="12.75">
      <c r="A277" s="6">
        <v>9</v>
      </c>
      <c r="B277" s="146"/>
      <c r="C277" s="8">
        <f t="shared" si="63"/>
      </c>
      <c r="D277" s="8">
        <f t="shared" si="64"/>
      </c>
      <c r="E277" s="152"/>
      <c r="H277" s="315">
        <f t="shared" si="65"/>
      </c>
    </row>
    <row r="278" spans="1:5" ht="12.75">
      <c r="A278" s="6">
        <v>10</v>
      </c>
      <c r="C278" s="8">
        <f t="shared" si="63"/>
      </c>
      <c r="D278" s="8">
        <f t="shared" si="64"/>
      </c>
      <c r="E278" s="153"/>
    </row>
    <row r="279" spans="1:5" ht="12.75">
      <c r="A279" s="6">
        <v>11</v>
      </c>
      <c r="C279" s="8">
        <f t="shared" si="63"/>
      </c>
      <c r="D279" s="8">
        <f t="shared" si="64"/>
      </c>
      <c r="E279" s="153"/>
    </row>
    <row r="280" spans="1:5" ht="12.75">
      <c r="A280" s="6">
        <v>12</v>
      </c>
      <c r="C280" s="8">
        <f t="shared" si="63"/>
      </c>
      <c r="D280" s="8">
        <f t="shared" si="64"/>
      </c>
      <c r="E280" s="153"/>
    </row>
    <row r="281" ht="12.75">
      <c r="E281" s="153"/>
    </row>
    <row r="282" spans="1:10" ht="12.75">
      <c r="A282" s="14" t="s">
        <v>63</v>
      </c>
      <c r="B282" s="143"/>
      <c r="C282" s="14"/>
      <c r="D282" s="14"/>
      <c r="E282" s="143"/>
      <c r="F282" s="14"/>
      <c r="G282" s="51"/>
      <c r="H282" s="314"/>
      <c r="I282" s="14"/>
      <c r="J282" s="14"/>
    </row>
    <row r="284" spans="1:10" ht="12.75">
      <c r="A284" s="1" t="s">
        <v>0</v>
      </c>
      <c r="B284" s="134" t="s">
        <v>1</v>
      </c>
      <c r="C284" s="3" t="s">
        <v>2</v>
      </c>
      <c r="D284" s="4" t="s">
        <v>3</v>
      </c>
      <c r="E284" s="147" t="s">
        <v>4</v>
      </c>
      <c r="F284" s="16" t="s">
        <v>24</v>
      </c>
      <c r="I284" t="s">
        <v>6</v>
      </c>
      <c r="J284" s="17"/>
    </row>
    <row r="285" spans="1:10" ht="12.75">
      <c r="A285" s="6">
        <v>1</v>
      </c>
      <c r="B285" s="138">
        <v>7</v>
      </c>
      <c r="C285" s="8" t="str">
        <f aca="true" t="shared" si="66" ref="C285:C296">IF(OR($B285=0,$B285=""),"",VLOOKUP($B285,igtj,2,FALSE))</f>
        <v>Klaudia Wallas</v>
      </c>
      <c r="D285" s="8" t="str">
        <f aca="true" t="shared" si="67" ref="D285:D296">IF(OR($B285=0,$B285=""),"",VLOOKUP($B285,igtj,3,FALSE))</f>
        <v>SL</v>
      </c>
      <c r="E285" s="151">
        <v>11.01</v>
      </c>
      <c r="F285">
        <v>6</v>
      </c>
      <c r="G285" s="42"/>
      <c r="H285" s="315" t="str">
        <f aca="true" t="shared" si="68" ref="H285:H291">IF(E285="","",IF(E285&lt;J$285,"","ESQ"))</f>
        <v>ESQ</v>
      </c>
      <c r="I285" t="s">
        <v>26</v>
      </c>
      <c r="J285" s="17">
        <v>10.7</v>
      </c>
    </row>
    <row r="286" spans="1:10" ht="12.75">
      <c r="A286" s="6">
        <v>2</v>
      </c>
      <c r="B286" s="138">
        <v>1</v>
      </c>
      <c r="C286" s="8" t="str">
        <f t="shared" si="66"/>
        <v>D Toisin-Tolabi</v>
      </c>
      <c r="D286" s="8" t="str">
        <f t="shared" si="67"/>
        <v>BRK</v>
      </c>
      <c r="E286" s="151">
        <v>10.19</v>
      </c>
      <c r="F286">
        <v>5</v>
      </c>
      <c r="H286" s="315">
        <f t="shared" si="68"/>
      </c>
      <c r="J286" s="12"/>
    </row>
    <row r="287" spans="1:10" ht="12.75">
      <c r="A287" s="6">
        <v>3</v>
      </c>
      <c r="B287" s="138">
        <v>9</v>
      </c>
      <c r="C287" s="8" t="str">
        <f t="shared" si="66"/>
        <v>Abbie Jones</v>
      </c>
      <c r="D287" s="8" t="str">
        <f t="shared" si="67"/>
        <v>W&amp;M</v>
      </c>
      <c r="E287" s="151">
        <v>10.01</v>
      </c>
      <c r="F287">
        <v>4</v>
      </c>
      <c r="H287" s="315">
        <f t="shared" si="68"/>
      </c>
      <c r="J287" s="12"/>
    </row>
    <row r="288" spans="1:10" ht="12.75">
      <c r="A288" s="6">
        <v>4</v>
      </c>
      <c r="B288" s="138">
        <v>11</v>
      </c>
      <c r="C288" s="8" t="str">
        <f t="shared" si="66"/>
        <v>K Kaemmerlen</v>
      </c>
      <c r="D288" s="8" t="str">
        <f t="shared" si="67"/>
        <v>WOK</v>
      </c>
      <c r="E288" s="151">
        <v>9.81</v>
      </c>
      <c r="F288">
        <v>3</v>
      </c>
      <c r="H288" s="315">
        <f t="shared" si="68"/>
      </c>
      <c r="J288" s="12"/>
    </row>
    <row r="289" spans="1:10" ht="12.75">
      <c r="A289" s="6">
        <v>5</v>
      </c>
      <c r="B289" s="138">
        <v>10</v>
      </c>
      <c r="C289" s="8" t="str">
        <f t="shared" si="66"/>
        <v>Cleo Sloggett</v>
      </c>
      <c r="D289" s="8" t="str">
        <f t="shared" si="67"/>
        <v>W&amp;M</v>
      </c>
      <c r="E289" s="151">
        <v>9.27</v>
      </c>
      <c r="F289">
        <v>2</v>
      </c>
      <c r="H289" s="315">
        <f t="shared" si="68"/>
      </c>
      <c r="J289" s="12"/>
    </row>
    <row r="290" spans="1:10" ht="12.75">
      <c r="A290" s="6">
        <v>6</v>
      </c>
      <c r="B290" s="138">
        <v>8</v>
      </c>
      <c r="C290" s="8" t="str">
        <f t="shared" si="66"/>
        <v>Alice Kane</v>
      </c>
      <c r="D290" s="8" t="str">
        <f t="shared" si="67"/>
        <v>SL</v>
      </c>
      <c r="E290" s="151">
        <v>9.08</v>
      </c>
      <c r="F290">
        <v>1</v>
      </c>
      <c r="H290" s="315">
        <f t="shared" si="68"/>
      </c>
      <c r="J290" s="12"/>
    </row>
    <row r="291" spans="1:8" ht="12.75">
      <c r="A291" s="6">
        <v>7</v>
      </c>
      <c r="B291" s="138">
        <v>12</v>
      </c>
      <c r="C291" s="8" t="str">
        <f t="shared" si="66"/>
        <v>N Paris</v>
      </c>
      <c r="D291" s="8" t="str">
        <f t="shared" si="67"/>
        <v>WOK</v>
      </c>
      <c r="E291" s="151">
        <v>7.85</v>
      </c>
      <c r="H291" s="315">
        <f t="shared" si="68"/>
      </c>
    </row>
    <row r="292" spans="1:5" ht="12.75">
      <c r="A292" s="6">
        <v>8</v>
      </c>
      <c r="C292" s="8">
        <f t="shared" si="66"/>
      </c>
      <c r="D292" s="8">
        <f t="shared" si="67"/>
      </c>
      <c r="E292" s="153"/>
    </row>
    <row r="293" spans="1:5" ht="12.75">
      <c r="A293" s="6">
        <v>9</v>
      </c>
      <c r="C293" s="8">
        <f t="shared" si="66"/>
      </c>
      <c r="D293" s="8">
        <f t="shared" si="67"/>
      </c>
      <c r="E293" s="153"/>
    </row>
    <row r="294" spans="1:5" ht="12.75">
      <c r="A294" s="6">
        <v>10</v>
      </c>
      <c r="C294" s="8">
        <f t="shared" si="66"/>
      </c>
      <c r="D294" s="8">
        <f t="shared" si="67"/>
      </c>
      <c r="E294" s="153"/>
    </row>
    <row r="295" spans="1:5" ht="12.75">
      <c r="A295" s="6">
        <v>11</v>
      </c>
      <c r="C295" s="8">
        <f t="shared" si="66"/>
      </c>
      <c r="D295" s="8">
        <f t="shared" si="67"/>
      </c>
      <c r="E295" s="153"/>
    </row>
    <row r="296" spans="1:5" ht="12.75">
      <c r="A296" s="6">
        <v>12</v>
      </c>
      <c r="C296" s="8">
        <f t="shared" si="66"/>
      </c>
      <c r="D296" s="8">
        <f t="shared" si="67"/>
      </c>
      <c r="E296" s="153"/>
    </row>
  </sheetData>
  <sheetProtection selectLockedCells="1"/>
  <printOptions/>
  <pageMargins left="0" right="0" top="1.4566929133858268" bottom="0" header="0.5118110236220472" footer="0.5118110236220472"/>
  <pageSetup horizontalDpi="300" verticalDpi="300" orientation="landscape" paperSize="9" scale="96" r:id="rId2"/>
  <headerFooter alignWithMargins="0">
    <oddHeader>&amp;L&amp;G&amp;CBerkshire Schools Track &amp; &amp; Field Championships - June 12 2010, Palmer Park
Intermediate Girls (U17) Full Results</oddHeader>
  </headerFooter>
  <rowBreaks count="7" manualBreakCount="7">
    <brk id="45" max="255" man="1"/>
    <brk id="101" max="255" man="1"/>
    <brk id="153" max="255" man="1"/>
    <brk id="179" max="255" man="1"/>
    <brk id="207" max="255" man="1"/>
    <brk id="249" max="255" man="1"/>
    <brk id="281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22"/>
  <sheetViews>
    <sheetView zoomScalePageLayoutView="0" workbookViewId="0" topLeftCell="A3">
      <selection activeCell="V20" sqref="A1:V20"/>
    </sheetView>
  </sheetViews>
  <sheetFormatPr defaultColWidth="9.140625" defaultRowHeight="12.75"/>
  <cols>
    <col min="1" max="1" width="6.8515625" style="27" customWidth="1"/>
    <col min="2" max="3" width="5.421875" style="27" bestFit="1" customWidth="1"/>
    <col min="4" max="4" width="5.421875" style="27" customWidth="1"/>
    <col min="5" max="5" width="8.8515625" style="27" customWidth="1"/>
    <col min="6" max="6" width="3.57421875" style="27" customWidth="1"/>
    <col min="7" max="7" width="7.140625" style="27" bestFit="1" customWidth="1"/>
    <col min="8" max="8" width="8.8515625" style="27" customWidth="1"/>
    <col min="9" max="9" width="3.140625" style="27" customWidth="1"/>
    <col min="10" max="10" width="6.140625" style="27" bestFit="1" customWidth="1"/>
    <col min="11" max="11" width="8.8515625" style="27" customWidth="1"/>
    <col min="12" max="12" width="3.28125" style="27" customWidth="1"/>
    <col min="13" max="13" width="5.28125" style="27" customWidth="1"/>
    <col min="14" max="14" width="8.8515625" style="27" customWidth="1"/>
    <col min="15" max="15" width="3.00390625" style="27" customWidth="1"/>
    <col min="16" max="16" width="5.7109375" style="27" customWidth="1"/>
    <col min="17" max="17" width="8.8515625" style="27" customWidth="1"/>
    <col min="18" max="18" width="3.7109375" style="27" customWidth="1"/>
    <col min="19" max="19" width="5.421875" style="27" customWidth="1"/>
    <col min="20" max="20" width="8.8515625" style="27" customWidth="1"/>
    <col min="21" max="21" width="3.7109375" style="27" customWidth="1"/>
    <col min="22" max="22" width="5.57421875" style="27" customWidth="1"/>
    <col min="23" max="23" width="4.140625" style="27" customWidth="1"/>
    <col min="24" max="24" width="3.7109375" style="27" customWidth="1"/>
    <col min="25" max="25" width="3.8515625" style="27" customWidth="1"/>
    <col min="26" max="26" width="3.7109375" style="27" customWidth="1"/>
    <col min="27" max="27" width="4.00390625" style="27" customWidth="1"/>
    <col min="28" max="28" width="3.140625" style="27" customWidth="1"/>
  </cols>
  <sheetData>
    <row r="1" spans="1:23" ht="20.25">
      <c r="A1" s="25" t="s">
        <v>127</v>
      </c>
      <c r="B1" s="26"/>
      <c r="C1" s="26"/>
      <c r="D1" s="26"/>
      <c r="G1" s="28"/>
      <c r="V1" s="29"/>
      <c r="W1" s="27" t="s">
        <v>17</v>
      </c>
    </row>
    <row r="2" spans="1:28" s="14" customFormat="1" ht="13.5">
      <c r="A2" s="30" t="s">
        <v>15</v>
      </c>
      <c r="B2" s="31" t="s">
        <v>6</v>
      </c>
      <c r="C2" s="31" t="s">
        <v>7</v>
      </c>
      <c r="D2" s="31" t="s">
        <v>8</v>
      </c>
      <c r="E2" s="32" t="s">
        <v>9</v>
      </c>
      <c r="F2" s="30"/>
      <c r="G2" s="32"/>
      <c r="H2" s="32" t="s">
        <v>10</v>
      </c>
      <c r="I2" s="30"/>
      <c r="J2" s="30"/>
      <c r="K2" s="30" t="s">
        <v>11</v>
      </c>
      <c r="L2" s="30"/>
      <c r="M2" s="30"/>
      <c r="N2" s="32" t="s">
        <v>12</v>
      </c>
      <c r="O2" s="30"/>
      <c r="P2" s="32"/>
      <c r="Q2" s="32" t="s">
        <v>13</v>
      </c>
      <c r="R2" s="30"/>
      <c r="S2" s="30"/>
      <c r="T2" s="30" t="s">
        <v>14</v>
      </c>
      <c r="U2" s="30"/>
      <c r="V2" s="123"/>
      <c r="W2" s="125" t="s">
        <v>16</v>
      </c>
      <c r="X2" s="33" t="s">
        <v>18</v>
      </c>
      <c r="Y2" s="33" t="s">
        <v>19</v>
      </c>
      <c r="Z2" s="33" t="s">
        <v>20</v>
      </c>
      <c r="AA2" s="33" t="s">
        <v>21</v>
      </c>
      <c r="AB2" s="33" t="s">
        <v>22</v>
      </c>
    </row>
    <row r="3" spans="1:28" ht="19.5" customHeight="1">
      <c r="A3" s="33" t="s">
        <v>65</v>
      </c>
      <c r="B3" s="34">
        <v>12</v>
      </c>
      <c r="C3" s="34">
        <v>12.6</v>
      </c>
      <c r="D3" s="34">
        <v>12.3</v>
      </c>
      <c r="E3" s="48" t="str">
        <f>'ig'!C86</f>
        <v>Georgia Kent</v>
      </c>
      <c r="F3" s="48" t="str">
        <f>'ig'!D86</f>
        <v>RDG</v>
      </c>
      <c r="G3" s="48">
        <f>'ig'!E86</f>
        <v>13</v>
      </c>
      <c r="H3" s="48" t="str">
        <f>'ig'!C87</f>
        <v>E Whybrow</v>
      </c>
      <c r="I3" s="48" t="str">
        <f>'ig'!D87</f>
        <v>WOK</v>
      </c>
      <c r="J3" s="48">
        <f>'ig'!E87</f>
        <v>13.1</v>
      </c>
      <c r="K3" s="48" t="str">
        <f>'ig'!C88</f>
        <v>Orla Breslin</v>
      </c>
      <c r="L3" s="48" t="str">
        <f>'ig'!D88</f>
        <v>WOK</v>
      </c>
      <c r="M3" s="48">
        <f>'ig'!E88</f>
        <v>13.2</v>
      </c>
      <c r="N3" s="48" t="str">
        <f>'ig'!C89</f>
        <v>N Duker</v>
      </c>
      <c r="O3" s="48" t="str">
        <f>'ig'!D89</f>
        <v>WOK</v>
      </c>
      <c r="P3" s="48">
        <f>'ig'!E89</f>
        <v>13.3</v>
      </c>
      <c r="Q3" s="48" t="str">
        <f>'ig'!C90</f>
        <v>Izzy Byrne</v>
      </c>
      <c r="R3" s="48" t="str">
        <f>'ig'!D90</f>
        <v>W&amp;M</v>
      </c>
      <c r="S3" s="48">
        <f>'ig'!E90</f>
        <v>14</v>
      </c>
      <c r="T3" s="48">
        <f>'ig'!C91</f>
      </c>
      <c r="U3" s="48">
        <f>'ig'!D91</f>
      </c>
      <c r="V3" s="48">
        <f>'ig'!E91</f>
        <v>0</v>
      </c>
      <c r="W3" s="125">
        <f>IF($F3="wb",6,0)+IF($I3="wb",5,0)+IF($L3="wb",4,0)+IF($O3="wb",3,0)+IF($R3="wb",2,0)+IF($U3="wb",1,0)</f>
        <v>0</v>
      </c>
      <c r="X3" s="33">
        <f>IF($F3="rdg",6,0)+IF($I3="rdg",5,0)+IF($L3="rdg",4,0)+IF($O3="rdg",3,0)+IF($R3="rdg",2,0)+IF($U3="rdg",1,0)</f>
        <v>6</v>
      </c>
      <c r="Y3" s="33">
        <f>IF($F3="wok",6,0)+IF($I3="wok",5,0)+IF($L3="wok",4,0)+IF($O3="wok",3,0)+IF($R3="wok",2,0)+IF($U3="wok",1,0)</f>
        <v>12</v>
      </c>
      <c r="Z3" s="33">
        <f>IF($F3="brk",6,0)+IF($I3="brk",5,0)+IF($L3="brk",4,0)+IF($O3="brk",3,0)+IF($R3="brk",2,0)+IF($U3="brk",1,0)</f>
        <v>0</v>
      </c>
      <c r="AA3" s="33">
        <f>IF($F3="w&amp;m",6,0)+IF($I3="w&amp;m",5,0)+IF($L3="w&amp;m",4,0)+IF($O3="w&amp;m",3,0)+IF($R3="w&amp;m",2,0)+IF($U3="w&amp;m",1,0)</f>
        <v>2</v>
      </c>
      <c r="AB3" s="33">
        <f>IF($F3="sl",6,0)+IF($I3="sl",5,0)+IF($L3="sl",4,0)+IF($O3="sl",3,0)+IF($R3="sl",2,0)+IF($U3="sl",1,0)</f>
        <v>0</v>
      </c>
    </row>
    <row r="4" spans="1:28" ht="19.5" customHeight="1">
      <c r="A4" s="33" t="s">
        <v>5</v>
      </c>
      <c r="B4" s="34">
        <v>24.8</v>
      </c>
      <c r="C4" s="34">
        <v>26</v>
      </c>
      <c r="D4" s="34">
        <v>25.2</v>
      </c>
      <c r="E4" s="48" t="str">
        <f>'ig'!$C173</f>
        <v>Isobel Gilkes</v>
      </c>
      <c r="F4" s="48" t="str">
        <f>'ig'!$D173</f>
        <v>WOK</v>
      </c>
      <c r="G4" s="320">
        <f>'ig'!$E173</f>
        <v>25.5</v>
      </c>
      <c r="H4" s="48" t="str">
        <f>'ig'!$C174</f>
        <v>R Watkins</v>
      </c>
      <c r="I4" s="48" t="str">
        <f>'ig'!$D174</f>
        <v>WOK</v>
      </c>
      <c r="J4" s="320">
        <f>'ig'!$E174</f>
        <v>26</v>
      </c>
      <c r="K4" s="48" t="str">
        <f>'ig'!$C175</f>
        <v>Caitlin McAra</v>
      </c>
      <c r="L4" s="48" t="str">
        <f>'ig'!$D175</f>
        <v>W&amp;M</v>
      </c>
      <c r="M4" s="48">
        <f>'ig'!$E175</f>
        <v>27.7</v>
      </c>
      <c r="N4" s="48" t="str">
        <f>'ig'!$C176</f>
        <v>K Angell</v>
      </c>
      <c r="O4" s="48" t="str">
        <f>'ig'!$D176</f>
        <v>WB</v>
      </c>
      <c r="P4" s="48">
        <f>'ig'!$E176</f>
        <v>28.7</v>
      </c>
      <c r="Q4" s="48" t="str">
        <f>'ig'!$C177</f>
        <v>E Seymour</v>
      </c>
      <c r="R4" s="48" t="str">
        <f>'ig'!$D177</f>
        <v>BRK</v>
      </c>
      <c r="S4" s="48">
        <f>'ig'!$E177</f>
        <v>29.7</v>
      </c>
      <c r="T4" s="48">
        <f>'ig'!$C178</f>
      </c>
      <c r="U4" s="48">
        <f>'ig'!$D178</f>
      </c>
      <c r="V4" s="48">
        <f>'ig'!$E178</f>
        <v>0</v>
      </c>
      <c r="W4" s="125">
        <f aca="true" t="shared" si="0" ref="W4:W11">IF($F4="wb",6,0)+IF($I4="wb",5,0)+IF($L4="wb",4,0)+IF($O4="wb",3,0)+IF($R4="wb",2,0)+IF($U4="wb",1,0)</f>
        <v>3</v>
      </c>
      <c r="X4" s="33">
        <f aca="true" t="shared" si="1" ref="X4:X20">IF($F4="rdg",6,0)+IF($I4="rdg",5,0)+IF($L4="rdg",4,0)+IF($O4="rdg",3,0)+IF($R4="rdg",2,0)+IF($U4="rdg",1,0)</f>
        <v>0</v>
      </c>
      <c r="Y4" s="33">
        <f aca="true" t="shared" si="2" ref="Y4:Y20">IF($F4="wok",6,0)+IF($I4="wok",5,0)+IF($L4="wok",4,0)+IF($O4="wok",3,0)+IF($R4="wok",2,0)+IF($U4="wok",1,0)</f>
        <v>11</v>
      </c>
      <c r="Z4" s="33">
        <f aca="true" t="shared" si="3" ref="Z4:Z20">IF($F4="brk",6,0)+IF($I4="brk",5,0)+IF($L4="brk",4,0)+IF($O4="brk",3,0)+IF($R4="brk",2,0)+IF($U4="brk",1,0)</f>
        <v>2</v>
      </c>
      <c r="AA4" s="33">
        <f aca="true" t="shared" si="4" ref="AA4:AA20">IF($F4="w&amp;m",6,0)+IF($I4="w&amp;m",5,0)+IF($L4="w&amp;m",4,0)+IF($O4="w&amp;m",3,0)+IF($R4="w&amp;m",2,0)+IF($U4="w&amp;m",1,0)</f>
        <v>4</v>
      </c>
      <c r="AB4" s="33">
        <f aca="true" t="shared" si="5" ref="AB4:AB20">IF($F4="sl",6,0)+IF($I4="sl",5,0)+IF($L4="sl",4,0)+IF($O4="sl",3,0)+IF($R4="sl",2,0)+IF($U4="sl",1,0)</f>
        <v>0</v>
      </c>
    </row>
    <row r="5" spans="1:28" ht="19.5" customHeight="1">
      <c r="A5" s="33" t="s">
        <v>81</v>
      </c>
      <c r="B5" s="34">
        <v>39.2</v>
      </c>
      <c r="C5" s="34">
        <v>41.2</v>
      </c>
      <c r="D5" s="34">
        <v>40.3</v>
      </c>
      <c r="E5" s="48" t="str">
        <f>'ig'!$C125</f>
        <v>C McCafferty</v>
      </c>
      <c r="F5" s="48" t="str">
        <f>'ig'!$D125</f>
        <v>WOK</v>
      </c>
      <c r="G5" s="48">
        <f>'ig'!$E125</f>
        <v>41.6</v>
      </c>
      <c r="H5" s="48" t="str">
        <f>'ig'!$C126</f>
        <v>Emmanuella Young</v>
      </c>
      <c r="I5" s="48" t="str">
        <f>'ig'!$D126</f>
        <v>RDG</v>
      </c>
      <c r="J5" s="48">
        <f>'ig'!$E126</f>
        <v>42.2</v>
      </c>
      <c r="K5" s="48" t="str">
        <f>'ig'!$C127</f>
        <v>N Bennett</v>
      </c>
      <c r="L5" s="48" t="str">
        <f>'ig'!$D127</f>
        <v>WOK</v>
      </c>
      <c r="M5" s="48">
        <f>'ig'!$E127</f>
        <v>42.2</v>
      </c>
      <c r="N5" s="48" t="str">
        <f>'ig'!$C128</f>
        <v>C Johnson</v>
      </c>
      <c r="O5" s="48" t="str">
        <f>'ig'!$D128</f>
        <v>BRK</v>
      </c>
      <c r="P5" s="48">
        <f>'ig'!$E128</f>
        <v>42.8</v>
      </c>
      <c r="Q5" s="48" t="str">
        <f>'ig'!$C129</f>
        <v>Lottie Ambridge</v>
      </c>
      <c r="R5" s="48" t="str">
        <f>'ig'!$D129</f>
        <v>W&amp;M</v>
      </c>
      <c r="S5" s="48">
        <f>'ig'!$E129</f>
        <v>43</v>
      </c>
      <c r="T5" s="48" t="str">
        <f>'ig'!$C130</f>
        <v>Maisie Pennant</v>
      </c>
      <c r="U5" s="48" t="str">
        <f>'ig'!$D130</f>
        <v>RDG</v>
      </c>
      <c r="V5" s="48">
        <f>'ig'!$E130</f>
        <v>44.5</v>
      </c>
      <c r="W5" s="125">
        <f t="shared" si="0"/>
        <v>0</v>
      </c>
      <c r="X5" s="33">
        <f t="shared" si="1"/>
        <v>6</v>
      </c>
      <c r="Y5" s="33">
        <f t="shared" si="2"/>
        <v>10</v>
      </c>
      <c r="Z5" s="33">
        <f t="shared" si="3"/>
        <v>3</v>
      </c>
      <c r="AA5" s="33">
        <f t="shared" si="4"/>
        <v>2</v>
      </c>
      <c r="AB5" s="33">
        <f t="shared" si="5"/>
        <v>0</v>
      </c>
    </row>
    <row r="6" spans="1:28" ht="19.5" customHeight="1">
      <c r="A6" s="33" t="s">
        <v>66</v>
      </c>
      <c r="B6" s="56">
        <v>0.0015347222222222223</v>
      </c>
      <c r="C6" s="56">
        <v>0.001574074074074074</v>
      </c>
      <c r="D6" s="56">
        <v>0.0015393518518518519</v>
      </c>
      <c r="E6" s="48" t="str">
        <f>'ig'!$C33</f>
        <v>Robyn Watkins</v>
      </c>
      <c r="F6" s="323" t="str">
        <f>'ig'!$D33</f>
        <v>W&amp;M</v>
      </c>
      <c r="G6" s="322">
        <f>'ig'!$E33</f>
        <v>0.0015775462962962963</v>
      </c>
      <c r="H6" s="323" t="str">
        <f>'ig'!$C34</f>
        <v>Suzie Liversedge</v>
      </c>
      <c r="I6" s="323" t="str">
        <f>'ig'!$D34</f>
        <v>BRk</v>
      </c>
      <c r="J6" s="322">
        <f>'ig'!$E34</f>
        <v>0.0015856481481481479</v>
      </c>
      <c r="K6" s="323" t="str">
        <f>'ig'!$C35</f>
        <v>E Griffin</v>
      </c>
      <c r="L6" s="323" t="str">
        <f>'ig'!$D35</f>
        <v>BRK</v>
      </c>
      <c r="M6" s="322">
        <f>'ig'!$E35</f>
        <v>0.0015949074074074075</v>
      </c>
      <c r="N6" s="323" t="str">
        <f>'ig'!$C36</f>
        <v>Ja Nightingale</v>
      </c>
      <c r="O6" s="323" t="str">
        <f>'ig'!$D36</f>
        <v>BRK</v>
      </c>
      <c r="P6" s="322">
        <f>'ig'!$E36</f>
        <v>0.0016261574074074075</v>
      </c>
      <c r="Q6" s="323" t="str">
        <f>'ig'!$C37</f>
        <v>Kaya Sittampalam-Main</v>
      </c>
      <c r="R6" s="323" t="str">
        <f>'ig'!$D37</f>
        <v>W&amp;M</v>
      </c>
      <c r="S6" s="322">
        <f>'ig'!$E37</f>
        <v>0.0016458333333333333</v>
      </c>
      <c r="T6" s="323" t="str">
        <f>'ig'!$C38</f>
        <v>M Brown</v>
      </c>
      <c r="U6" s="323" t="str">
        <f>'ig'!$D38</f>
        <v>WB</v>
      </c>
      <c r="V6" s="322">
        <f>'ig'!$E38</f>
        <v>0.0016701388888888892</v>
      </c>
      <c r="W6" s="125">
        <f t="shared" si="0"/>
        <v>1</v>
      </c>
      <c r="X6" s="33">
        <f t="shared" si="1"/>
        <v>0</v>
      </c>
      <c r="Y6" s="33">
        <f t="shared" si="2"/>
        <v>0</v>
      </c>
      <c r="Z6" s="33">
        <f t="shared" si="3"/>
        <v>12</v>
      </c>
      <c r="AA6" s="33">
        <f t="shared" si="4"/>
        <v>8</v>
      </c>
      <c r="AB6" s="33">
        <f t="shared" si="5"/>
        <v>0</v>
      </c>
    </row>
    <row r="7" spans="1:28" ht="19.5" customHeight="1">
      <c r="A7" s="33" t="s">
        <v>67</v>
      </c>
      <c r="B7" s="56">
        <v>0.003197916666666667</v>
      </c>
      <c r="C7" s="56">
        <v>0.003298611111111111</v>
      </c>
      <c r="D7" s="56">
        <v>0.0032291666666666666</v>
      </c>
      <c r="E7" s="48" t="str">
        <f>'ig'!$C135</f>
        <v>K Shepherd-Cross</v>
      </c>
      <c r="F7" s="323" t="str">
        <f>'ig'!$D135</f>
        <v>WB</v>
      </c>
      <c r="G7" s="324">
        <f>'ig'!$E135</f>
        <v>0.003296296296296296</v>
      </c>
      <c r="H7" s="323" t="str">
        <f>'ig'!$C136</f>
        <v>Isobel Mannion</v>
      </c>
      <c r="I7" s="323" t="str">
        <f>'ig'!$D136</f>
        <v>WB</v>
      </c>
      <c r="J7" s="322">
        <f>'ig'!$E136</f>
        <v>0.003336805555555555</v>
      </c>
      <c r="K7" s="323" t="str">
        <f>'ig'!$C137</f>
        <v>Amelia Wilks</v>
      </c>
      <c r="L7" s="323" t="str">
        <f>'ig'!$D137</f>
        <v>BRK</v>
      </c>
      <c r="M7" s="322">
        <f>'ig'!$E137</f>
        <v>0.0034664351851851852</v>
      </c>
      <c r="N7" s="323" t="str">
        <f>'ig'!$C138</f>
        <v>C Nicholls</v>
      </c>
      <c r="O7" s="323" t="str">
        <f>'ig'!$D138</f>
        <v>BRK</v>
      </c>
      <c r="P7" s="322">
        <f>'ig'!$E138</f>
        <v>0.0034907407407407404</v>
      </c>
      <c r="Q7" s="323" t="str">
        <f>'ig'!$C139</f>
        <v>H Walker</v>
      </c>
      <c r="R7" s="323" t="str">
        <f>'ig'!$D139</f>
        <v>WOK</v>
      </c>
      <c r="S7" s="322">
        <f>'ig'!$E139</f>
        <v>0.003612268518518518</v>
      </c>
      <c r="T7" s="323" t="str">
        <f>'ig'!$C140</f>
        <v>Charlie Holden</v>
      </c>
      <c r="U7" s="323"/>
      <c r="V7" s="322">
        <f>'ig'!$E140</f>
        <v>0.0036331018518518513</v>
      </c>
      <c r="W7" s="125">
        <f t="shared" si="0"/>
        <v>11</v>
      </c>
      <c r="X7" s="33">
        <f t="shared" si="1"/>
        <v>0</v>
      </c>
      <c r="Y7" s="33">
        <f t="shared" si="2"/>
        <v>2</v>
      </c>
      <c r="Z7" s="33">
        <f t="shared" si="3"/>
        <v>7</v>
      </c>
      <c r="AA7" s="33">
        <f t="shared" si="4"/>
        <v>0</v>
      </c>
      <c r="AB7" s="33">
        <f t="shared" si="5"/>
        <v>0</v>
      </c>
    </row>
    <row r="8" spans="1:28" ht="19.5" customHeight="1">
      <c r="A8" s="33" t="s">
        <v>77</v>
      </c>
      <c r="B8" s="34">
        <v>11.5</v>
      </c>
      <c r="C8" s="34">
        <v>12</v>
      </c>
      <c r="D8" s="34">
        <v>11.7</v>
      </c>
      <c r="E8" s="48" t="str">
        <f>'ig'!$C96</f>
        <v>Chante Williams</v>
      </c>
      <c r="F8" s="323" t="str">
        <f>'ig'!$D96</f>
        <v>BRK</v>
      </c>
      <c r="G8" s="325">
        <f>'ig'!$E96</f>
        <v>12</v>
      </c>
      <c r="H8" s="323" t="str">
        <f>'ig'!$C97</f>
        <v>T Gohara</v>
      </c>
      <c r="I8" s="323" t="str">
        <f>'ig'!$D97</f>
        <v>WB</v>
      </c>
      <c r="J8" s="323">
        <f>'ig'!$E97</f>
        <v>12.7</v>
      </c>
      <c r="K8" s="323" t="str">
        <f>'ig'!$C98</f>
        <v>Emily Cunnimgham</v>
      </c>
      <c r="L8" s="323" t="str">
        <f>'ig'!$D98</f>
        <v>RDG</v>
      </c>
      <c r="M8" s="323">
        <f>'ig'!$E98</f>
        <v>13.5</v>
      </c>
      <c r="N8" s="323" t="str">
        <f>'ig'!$C99</f>
        <v>A Henderson</v>
      </c>
      <c r="O8" s="323" t="str">
        <f>'ig'!$D99</f>
        <v>BRK</v>
      </c>
      <c r="P8" s="323">
        <f>'ig'!$E99</f>
        <v>13.9</v>
      </c>
      <c r="Q8" s="323">
        <f>'ig'!$C100</f>
      </c>
      <c r="R8" s="323">
        <f>'ig'!$D100</f>
      </c>
      <c r="S8" s="323">
        <f>'ig'!$E100</f>
        <v>0</v>
      </c>
      <c r="T8" s="323">
        <f>'ig'!$C101</f>
      </c>
      <c r="U8" s="323">
        <f>'ig'!$D101</f>
      </c>
      <c r="V8" s="48">
        <f>'ig'!$E101</f>
        <v>0</v>
      </c>
      <c r="W8" s="125">
        <f t="shared" si="0"/>
        <v>5</v>
      </c>
      <c r="X8" s="33">
        <f t="shared" si="1"/>
        <v>4</v>
      </c>
      <c r="Y8" s="33">
        <f t="shared" si="2"/>
        <v>0</v>
      </c>
      <c r="Z8" s="33">
        <f t="shared" si="3"/>
        <v>9</v>
      </c>
      <c r="AA8" s="33">
        <f t="shared" si="4"/>
        <v>0</v>
      </c>
      <c r="AB8" s="33">
        <f t="shared" si="5"/>
        <v>0</v>
      </c>
    </row>
    <row r="9" spans="1:28" ht="19.5" customHeight="1">
      <c r="A9" s="33" t="s">
        <v>83</v>
      </c>
      <c r="B9" s="34">
        <v>45.6</v>
      </c>
      <c r="C9" s="34">
        <v>46.6</v>
      </c>
      <c r="D9" s="34">
        <v>45</v>
      </c>
      <c r="E9" s="48" t="str">
        <f>'ig'!$C5</f>
        <v>Orla Brennan</v>
      </c>
      <c r="F9" s="48" t="str">
        <f>'ig'!$D5</f>
        <v>W&amp;M</v>
      </c>
      <c r="G9" s="320">
        <f>'ig'!$E5</f>
        <v>45.2</v>
      </c>
      <c r="H9" s="48" t="str">
        <f>'ig'!$C6</f>
        <v>I Norrey</v>
      </c>
      <c r="I9" s="48" t="str">
        <f>'ig'!$D6</f>
        <v>BRK</v>
      </c>
      <c r="J9" s="48">
        <f>'ig'!$E6</f>
        <v>47.8</v>
      </c>
      <c r="K9" s="48">
        <f>'ig'!$C7</f>
      </c>
      <c r="L9" s="48">
        <f>'ig'!$D7</f>
      </c>
      <c r="M9" s="48">
        <f>'ig'!$E7</f>
        <v>0</v>
      </c>
      <c r="N9" s="48">
        <f>'ig'!$C8</f>
      </c>
      <c r="O9" s="48">
        <f>'ig'!$D8</f>
      </c>
      <c r="P9" s="48">
        <f>'ig'!$E8</f>
        <v>0</v>
      </c>
      <c r="Q9" s="48">
        <f>'ig'!$C9</f>
      </c>
      <c r="R9" s="48">
        <f>'ig'!$D9</f>
      </c>
      <c r="S9" s="48">
        <f>'ig'!$E9</f>
        <v>0</v>
      </c>
      <c r="T9" s="48">
        <f>'ig'!$C10</f>
      </c>
      <c r="U9" s="48">
        <f>'ig'!$D10</f>
      </c>
      <c r="V9" s="48">
        <f>'ig'!$E10</f>
        <v>0</v>
      </c>
      <c r="W9" s="125">
        <f t="shared" si="0"/>
        <v>0</v>
      </c>
      <c r="X9" s="33">
        <f t="shared" si="1"/>
        <v>0</v>
      </c>
      <c r="Y9" s="33">
        <f t="shared" si="2"/>
        <v>0</v>
      </c>
      <c r="Z9" s="33">
        <f t="shared" si="3"/>
        <v>5</v>
      </c>
      <c r="AA9" s="33">
        <f t="shared" si="4"/>
        <v>6</v>
      </c>
      <c r="AB9" s="33">
        <f t="shared" si="5"/>
        <v>0</v>
      </c>
    </row>
    <row r="10" spans="1:28" ht="19.5" customHeight="1">
      <c r="A10" s="33" t="s">
        <v>82</v>
      </c>
      <c r="B10" s="56">
        <v>0.006868055555555555</v>
      </c>
      <c r="C10" s="56">
        <v>0.007199074074074074</v>
      </c>
      <c r="D10" s="56">
        <v>0.007060185185185184</v>
      </c>
      <c r="E10" s="48" t="str">
        <f>'ig'!C157</f>
        <v>Katie Rodda</v>
      </c>
      <c r="F10" s="48" t="str">
        <f>'ig'!D157</f>
        <v>RDG</v>
      </c>
      <c r="G10" s="48">
        <f>'ig'!E157</f>
        <v>0.007702546296296297</v>
      </c>
      <c r="H10" s="48">
        <f>'ig'!C158</f>
      </c>
      <c r="I10" s="48">
        <f>'ig'!D158</f>
      </c>
      <c r="J10" s="48">
        <f>'ig'!E158</f>
        <v>0</v>
      </c>
      <c r="K10" s="33">
        <f>'ig'!C159</f>
      </c>
      <c r="L10" s="33">
        <f>'ig'!D159</f>
      </c>
      <c r="M10" s="33">
        <f>'ig'!E159</f>
        <v>0</v>
      </c>
      <c r="N10" s="33">
        <f>'ig'!C160</f>
      </c>
      <c r="O10" s="33">
        <f>'ig'!D160</f>
      </c>
      <c r="P10" s="33">
        <f>'ig'!E160</f>
        <v>0</v>
      </c>
      <c r="Q10" s="33">
        <f>'ig'!C161</f>
      </c>
      <c r="R10" s="33">
        <f>'ig'!D161</f>
      </c>
      <c r="S10" s="33">
        <f>'ig'!E161</f>
        <v>0</v>
      </c>
      <c r="T10" s="33">
        <f>'ig'!C162</f>
      </c>
      <c r="U10" s="33">
        <f>'ig'!D162</f>
      </c>
      <c r="V10" s="33">
        <f>'ig'!E162</f>
        <v>0</v>
      </c>
      <c r="W10" s="125">
        <f t="shared" si="0"/>
        <v>0</v>
      </c>
      <c r="X10" s="33">
        <f t="shared" si="1"/>
        <v>6</v>
      </c>
      <c r="Y10" s="33">
        <f t="shared" si="2"/>
        <v>0</v>
      </c>
      <c r="Z10" s="33">
        <f t="shared" si="3"/>
        <v>0</v>
      </c>
      <c r="AA10" s="33">
        <f t="shared" si="4"/>
        <v>0</v>
      </c>
      <c r="AB10" s="33">
        <f t="shared" si="5"/>
        <v>0</v>
      </c>
    </row>
    <row r="11" spans="1:28" ht="19.5" customHeight="1">
      <c r="A11" s="33" t="s">
        <v>113</v>
      </c>
      <c r="B11" s="56">
        <v>0.003569444444444444</v>
      </c>
      <c r="C11" s="56">
        <v>0.0037384259259259263</v>
      </c>
      <c r="D11" s="56">
        <v>0.0036226851851851854</v>
      </c>
      <c r="E11" s="48" t="str">
        <f>'ig'!C146</f>
        <v>Emily Jones</v>
      </c>
      <c r="F11" s="48" t="str">
        <f>'ig'!D146</f>
        <v>BRK</v>
      </c>
      <c r="G11" s="331">
        <v>0.003894675925925926</v>
      </c>
      <c r="H11" s="48" t="str">
        <f>'ig'!C147</f>
        <v>Maya Hodgson</v>
      </c>
      <c r="I11" s="48" t="str">
        <f>'ig'!D147</f>
        <v>RDG</v>
      </c>
      <c r="J11" s="331">
        <v>0.003946759259259259</v>
      </c>
      <c r="K11" s="48">
        <f>'ig'!Q137</f>
      </c>
      <c r="L11" s="48">
        <f>'ig'!R137</f>
      </c>
      <c r="M11" s="48">
        <f>'ig'!S137</f>
        <v>0</v>
      </c>
      <c r="N11" s="48">
        <f>'ig'!Q138</f>
      </c>
      <c r="O11" s="48">
        <f>'ig'!R138</f>
      </c>
      <c r="P11" s="48">
        <f>'ig'!S138</f>
        <v>0</v>
      </c>
      <c r="Q11" s="48">
        <f>'ig'!Q139</f>
      </c>
      <c r="R11" s="48">
        <f>'ig'!R139</f>
      </c>
      <c r="S11" s="48">
        <f>'ig'!S139</f>
        <v>0</v>
      </c>
      <c r="T11" s="48">
        <f>'ig'!Q140</f>
      </c>
      <c r="U11" s="48">
        <f>'ig'!R140</f>
      </c>
      <c r="V11" s="48">
        <f>'ig'!S140</f>
        <v>0</v>
      </c>
      <c r="W11" s="125">
        <f t="shared" si="0"/>
        <v>0</v>
      </c>
      <c r="X11" s="33">
        <f t="shared" si="1"/>
        <v>5</v>
      </c>
      <c r="Y11" s="33">
        <f t="shared" si="2"/>
        <v>0</v>
      </c>
      <c r="Z11" s="33">
        <f t="shared" si="3"/>
        <v>6</v>
      </c>
      <c r="AA11" s="33">
        <f t="shared" si="4"/>
        <v>0</v>
      </c>
      <c r="AB11" s="33">
        <f t="shared" si="5"/>
        <v>0</v>
      </c>
    </row>
    <row r="12" spans="1:28" ht="19.5" customHeight="1">
      <c r="A12" s="33"/>
      <c r="B12" s="34"/>
      <c r="C12" s="34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26"/>
      <c r="W12" s="125"/>
      <c r="X12" s="33"/>
      <c r="Y12" s="33"/>
      <c r="Z12" s="33"/>
      <c r="AA12" s="33"/>
      <c r="AB12" s="33"/>
    </row>
    <row r="13" spans="1:28" ht="19.5" customHeight="1">
      <c r="A13" s="33" t="s">
        <v>69</v>
      </c>
      <c r="B13" s="35">
        <v>5.8</v>
      </c>
      <c r="C13" s="35">
        <v>5.25</v>
      </c>
      <c r="D13" s="35">
        <v>5.5</v>
      </c>
      <c r="E13" s="36" t="str">
        <f>'ig'!$C195</f>
        <v>Jasmine McCallum</v>
      </c>
      <c r="F13" s="36" t="str">
        <f>'ig'!$D195</f>
        <v>RDG</v>
      </c>
      <c r="G13" s="36">
        <f>'ig'!$E195</f>
        <v>5.05</v>
      </c>
      <c r="H13" s="36" t="str">
        <f>'ig'!$C196</f>
        <v>E Pitney</v>
      </c>
      <c r="I13" s="36" t="str">
        <f>'ig'!$D196</f>
        <v>WOK</v>
      </c>
      <c r="J13" s="36">
        <f>'ig'!$E196</f>
        <v>4.56</v>
      </c>
      <c r="K13" s="36" t="str">
        <f>'ig'!$C197</f>
        <v>J Crossley</v>
      </c>
      <c r="L13" s="36" t="str">
        <f>'ig'!$D197</f>
        <v>WB</v>
      </c>
      <c r="M13" s="36">
        <f>'ig'!$E197</f>
        <v>4.55</v>
      </c>
      <c r="N13" s="36" t="str">
        <f>'ig'!$C198</f>
        <v>A Fitzwilliams</v>
      </c>
      <c r="O13" s="36" t="str">
        <f>'ig'!$D198</f>
        <v>BRK</v>
      </c>
      <c r="P13" s="36">
        <f>'ig'!$E198</f>
        <v>4.5</v>
      </c>
      <c r="Q13" s="36" t="str">
        <f>'ig'!$C199</f>
        <v>A Treylown</v>
      </c>
      <c r="R13" s="36" t="str">
        <f>'ig'!$D199</f>
        <v>WOK</v>
      </c>
      <c r="S13" s="36">
        <f>'ig'!$E199</f>
        <v>4.35</v>
      </c>
      <c r="T13" s="36" t="str">
        <f>'ig'!$C200</f>
        <v>G Lewis</v>
      </c>
      <c r="U13" s="36" t="str">
        <f>'ig'!$D200</f>
        <v>BRK</v>
      </c>
      <c r="V13" s="36">
        <f>'ig'!$E200</f>
        <v>4.32</v>
      </c>
      <c r="W13" s="125">
        <f aca="true" t="shared" si="6" ref="W13:W20">IF($F13="wb",6,0)+IF($I13="wb",5,0)+IF($L13="wb",4,0)+IF($O13="wb",3,0)+IF($R13="wb",2,0)+IF($U13="wb",1,0)</f>
        <v>4</v>
      </c>
      <c r="X13" s="33">
        <f t="shared" si="1"/>
        <v>6</v>
      </c>
      <c r="Y13" s="33">
        <f t="shared" si="2"/>
        <v>7</v>
      </c>
      <c r="Z13" s="33">
        <f t="shared" si="3"/>
        <v>4</v>
      </c>
      <c r="AA13" s="33">
        <f t="shared" si="4"/>
        <v>0</v>
      </c>
      <c r="AB13" s="33">
        <f t="shared" si="5"/>
        <v>0</v>
      </c>
    </row>
    <row r="14" spans="1:28" ht="19.5" customHeight="1">
      <c r="A14" s="33" t="s">
        <v>72</v>
      </c>
      <c r="B14" s="35">
        <v>1.7</v>
      </c>
      <c r="C14" s="35">
        <v>1.62</v>
      </c>
      <c r="D14" s="35">
        <v>1.68</v>
      </c>
      <c r="E14" s="36" t="str">
        <f>'ig'!$C253</f>
        <v>Isabell Church</v>
      </c>
      <c r="F14" s="36" t="str">
        <f>'ig'!$D253</f>
        <v>RDG</v>
      </c>
      <c r="G14" s="318">
        <f>'ig'!$E253</f>
        <v>1.62</v>
      </c>
      <c r="H14" s="36" t="str">
        <f>'ig'!$C254</f>
        <v>I Elwes</v>
      </c>
      <c r="I14" s="36" t="str">
        <f>'ig'!$D254</f>
        <v>BRK</v>
      </c>
      <c r="J14" s="36">
        <f>'ig'!$E254</f>
        <v>1.45</v>
      </c>
      <c r="K14" s="36" t="str">
        <f>'ig'!$C255</f>
        <v>O Clegg</v>
      </c>
      <c r="L14" s="36" t="str">
        <f>'ig'!$D255</f>
        <v>WB</v>
      </c>
      <c r="M14" s="36">
        <f>'ig'!$E255</f>
        <v>1.45</v>
      </c>
      <c r="N14" s="36" t="str">
        <f>'ig'!$C256</f>
        <v>G Frost</v>
      </c>
      <c r="O14" s="36" t="str">
        <f>'ig'!$D256</f>
        <v>WOK</v>
      </c>
      <c r="P14" s="36">
        <f>'ig'!$E256</f>
        <v>1.45</v>
      </c>
      <c r="Q14" s="36" t="str">
        <f>'ig'!$C257</f>
        <v>R McBowin</v>
      </c>
      <c r="R14" s="36" t="str">
        <f>'ig'!$D257</f>
        <v>WB</v>
      </c>
      <c r="S14" s="36">
        <f>'ig'!$E257</f>
        <v>1.4</v>
      </c>
      <c r="T14" s="36" t="str">
        <f>'ig'!$C258</f>
        <v>I Idle</v>
      </c>
      <c r="U14" s="36" t="str">
        <f>'ig'!$D258</f>
        <v>BRK</v>
      </c>
      <c r="V14" s="36">
        <f>'ig'!$E258</f>
        <v>1.35</v>
      </c>
      <c r="W14" s="125">
        <f t="shared" si="6"/>
        <v>6</v>
      </c>
      <c r="X14" s="33">
        <f t="shared" si="1"/>
        <v>6</v>
      </c>
      <c r="Y14" s="33">
        <f t="shared" si="2"/>
        <v>3</v>
      </c>
      <c r="Z14" s="33">
        <f t="shared" si="3"/>
        <v>6</v>
      </c>
      <c r="AA14" s="33">
        <f t="shared" si="4"/>
        <v>0</v>
      </c>
      <c r="AB14" s="33">
        <f t="shared" si="5"/>
        <v>0</v>
      </c>
    </row>
    <row r="15" spans="1:28" ht="19.5" customHeight="1">
      <c r="A15" s="33" t="s">
        <v>79</v>
      </c>
      <c r="B15" s="35">
        <v>3.56</v>
      </c>
      <c r="C15" s="35">
        <v>3.1</v>
      </c>
      <c r="D15" s="310">
        <v>3.4</v>
      </c>
      <c r="E15" s="36" t="str">
        <f>'ig'!$C227</f>
        <v>Trinity O'Connor</v>
      </c>
      <c r="F15" s="36" t="str">
        <f>'ig'!$D227</f>
        <v>RDG</v>
      </c>
      <c r="G15" s="36">
        <f>'ig'!$E227</f>
        <v>2.8</v>
      </c>
      <c r="H15" s="36" t="str">
        <f>'ig'!$C228</f>
        <v>S Pritchard</v>
      </c>
      <c r="I15" s="36" t="str">
        <f>'ig'!$D228</f>
        <v>WOK</v>
      </c>
      <c r="J15" s="36">
        <f>'ig'!$E228</f>
        <v>2.6</v>
      </c>
      <c r="K15" s="36" t="str">
        <f>'ig'!$C229</f>
        <v>E Kenyon-Slaney</v>
      </c>
      <c r="L15" s="36" t="str">
        <f>'ig'!$D229</f>
        <v>BRK</v>
      </c>
      <c r="M15" s="36">
        <f>'ig'!$E229</f>
        <v>2.4</v>
      </c>
      <c r="N15" s="36" t="str">
        <f>'ig'!$C230</f>
        <v>C Kelly</v>
      </c>
      <c r="O15" s="36" t="str">
        <f>'ig'!$D230</f>
        <v>BRK</v>
      </c>
      <c r="P15" s="36">
        <f>'ig'!$E230</f>
        <v>2.4</v>
      </c>
      <c r="Q15" s="36" t="str">
        <f>'ig'!$C231</f>
        <v>C Spratt</v>
      </c>
      <c r="R15" s="36" t="str">
        <f>'ig'!$D231</f>
        <v>BRK</v>
      </c>
      <c r="S15" s="36">
        <f>'ig'!$E231</f>
        <v>2.3</v>
      </c>
      <c r="T15" s="36">
        <f>'ig'!$C232</f>
      </c>
      <c r="U15" s="36">
        <f>'ig'!$D232</f>
      </c>
      <c r="V15" s="36">
        <f>'ig'!$E232</f>
        <v>0</v>
      </c>
      <c r="W15" s="125">
        <f t="shared" si="6"/>
        <v>0</v>
      </c>
      <c r="X15" s="33">
        <f t="shared" si="1"/>
        <v>6</v>
      </c>
      <c r="Y15" s="33">
        <f t="shared" si="2"/>
        <v>5</v>
      </c>
      <c r="Z15" s="33">
        <f t="shared" si="3"/>
        <v>9</v>
      </c>
      <c r="AA15" s="33">
        <f t="shared" si="4"/>
        <v>0</v>
      </c>
      <c r="AB15" s="33">
        <f t="shared" si="5"/>
        <v>0</v>
      </c>
    </row>
    <row r="16" spans="1:28" ht="19.5" customHeight="1">
      <c r="A16" s="33" t="s">
        <v>80</v>
      </c>
      <c r="B16" s="35">
        <v>11.13</v>
      </c>
      <c r="C16" s="35">
        <v>10.9</v>
      </c>
      <c r="D16" s="35">
        <v>11.2</v>
      </c>
      <c r="E16" s="36" t="str">
        <f>'ig'!$C285</f>
        <v>Klaudia Wallas</v>
      </c>
      <c r="F16" s="36" t="str">
        <f>'ig'!$D285</f>
        <v>SL</v>
      </c>
      <c r="G16" s="36">
        <f>'ig'!$E285</f>
        <v>11.01</v>
      </c>
      <c r="H16" s="36" t="str">
        <f>'ig'!$C286</f>
        <v>D Toisin-Tolabi</v>
      </c>
      <c r="I16" s="36" t="str">
        <f>'ig'!$D286</f>
        <v>BRK</v>
      </c>
      <c r="J16" s="36">
        <f>'ig'!$E286</f>
        <v>10.19</v>
      </c>
      <c r="K16" s="36" t="str">
        <f>'ig'!$C287</f>
        <v>Abbie Jones</v>
      </c>
      <c r="L16" s="36" t="str">
        <f>'ig'!$D287</f>
        <v>W&amp;M</v>
      </c>
      <c r="M16" s="36">
        <f>'ig'!$E287</f>
        <v>10.01</v>
      </c>
      <c r="N16" s="36" t="str">
        <f>'ig'!$C288</f>
        <v>K Kaemmerlen</v>
      </c>
      <c r="O16" s="36" t="str">
        <f>'ig'!$D288</f>
        <v>WOK</v>
      </c>
      <c r="P16" s="36">
        <f>'ig'!$E288</f>
        <v>9.81</v>
      </c>
      <c r="Q16" s="36" t="str">
        <f>'ig'!$C289</f>
        <v>Cleo Sloggett</v>
      </c>
      <c r="R16" s="36" t="str">
        <f>'ig'!$D289</f>
        <v>W&amp;M</v>
      </c>
      <c r="S16" s="36">
        <f>'ig'!$E289</f>
        <v>9.27</v>
      </c>
      <c r="T16" s="36" t="str">
        <f>'ig'!$C290</f>
        <v>Alice Kane</v>
      </c>
      <c r="U16" s="36" t="str">
        <f>'ig'!$D290</f>
        <v>SL</v>
      </c>
      <c r="V16" s="36">
        <f>'ig'!$E290</f>
        <v>9.08</v>
      </c>
      <c r="W16" s="125">
        <f t="shared" si="6"/>
        <v>0</v>
      </c>
      <c r="X16" s="33">
        <f t="shared" si="1"/>
        <v>0</v>
      </c>
      <c r="Y16" s="33">
        <f t="shared" si="2"/>
        <v>3</v>
      </c>
      <c r="Z16" s="33">
        <f t="shared" si="3"/>
        <v>5</v>
      </c>
      <c r="AA16" s="33">
        <f t="shared" si="4"/>
        <v>6</v>
      </c>
      <c r="AB16" s="33">
        <f t="shared" si="5"/>
        <v>7</v>
      </c>
    </row>
    <row r="17" spans="1:28" ht="19.5" customHeight="1">
      <c r="A17" s="33" t="s">
        <v>70</v>
      </c>
      <c r="B17" s="35">
        <v>45.58</v>
      </c>
      <c r="C17" s="35">
        <v>33</v>
      </c>
      <c r="D17" s="35">
        <v>36</v>
      </c>
      <c r="E17" s="36" t="str">
        <f>'ig'!$C211</f>
        <v>Charlotte Payne</v>
      </c>
      <c r="F17" s="36" t="str">
        <f>'ig'!$D211</f>
        <v>WB</v>
      </c>
      <c r="G17" s="319">
        <f>'ig'!$E211</f>
        <v>41.19</v>
      </c>
      <c r="H17" s="36" t="str">
        <f>'ig'!$C212</f>
        <v>KJ Stevens</v>
      </c>
      <c r="I17" s="36" t="str">
        <f>'ig'!$D212</f>
        <v>WB</v>
      </c>
      <c r="J17" s="36">
        <f>'ig'!$E212</f>
        <v>27.72</v>
      </c>
      <c r="K17" s="36" t="str">
        <f>'ig'!$C213</f>
        <v>E Spencer-Jones</v>
      </c>
      <c r="L17" s="36" t="str">
        <f>'ig'!$D213</f>
        <v>BRK</v>
      </c>
      <c r="M17" s="36">
        <f>'ig'!$E213</f>
        <v>25.34</v>
      </c>
      <c r="N17" s="36" t="str">
        <f>'ig'!$C214</f>
        <v>Sophie Lange</v>
      </c>
      <c r="O17" s="36" t="str">
        <f>'ig'!$D214</f>
        <v>RDG</v>
      </c>
      <c r="P17" s="36">
        <f>'ig'!$E214</f>
        <v>23.62</v>
      </c>
      <c r="Q17" s="36" t="str">
        <f>'ig'!$C215</f>
        <v>Sophie Tunn</v>
      </c>
      <c r="R17" s="36" t="str">
        <f>'ig'!$D215</f>
        <v>W&amp;M</v>
      </c>
      <c r="S17" s="36">
        <f>'ig'!$E215</f>
        <v>17.89</v>
      </c>
      <c r="T17" s="36" t="str">
        <f>'ig'!$C216</f>
        <v>Mia Taylor-Warner</v>
      </c>
      <c r="U17" s="36" t="str">
        <f>'ig'!$D216</f>
        <v>W&amp;M</v>
      </c>
      <c r="V17" s="36">
        <f>'ig'!$E216</f>
        <v>17.69</v>
      </c>
      <c r="W17" s="125">
        <f t="shared" si="6"/>
        <v>11</v>
      </c>
      <c r="X17" s="33">
        <f t="shared" si="1"/>
        <v>3</v>
      </c>
      <c r="Y17" s="33">
        <f t="shared" si="2"/>
        <v>0</v>
      </c>
      <c r="Z17" s="33">
        <f t="shared" si="3"/>
        <v>4</v>
      </c>
      <c r="AA17" s="33">
        <f t="shared" si="4"/>
        <v>3</v>
      </c>
      <c r="AB17" s="33">
        <f t="shared" si="5"/>
        <v>0</v>
      </c>
    </row>
    <row r="18" spans="1:28" ht="19.5" customHeight="1">
      <c r="A18" s="33" t="s">
        <v>71</v>
      </c>
      <c r="B18" s="35">
        <v>10.92</v>
      </c>
      <c r="C18" s="35">
        <v>10.2</v>
      </c>
      <c r="D18" s="35">
        <v>11</v>
      </c>
      <c r="E18" s="36" t="str">
        <f>'ig'!$C269</f>
        <v>Angela Lowe</v>
      </c>
      <c r="F18" s="36" t="str">
        <f>'ig'!$D269</f>
        <v>RDG</v>
      </c>
      <c r="G18" s="319">
        <f>'ig'!$E269</f>
        <v>11.62</v>
      </c>
      <c r="H18" s="36" t="str">
        <f>'ig'!$C270</f>
        <v>L Spratley-Kemp</v>
      </c>
      <c r="I18" s="36" t="str">
        <f>'ig'!$D270</f>
        <v>WOK</v>
      </c>
      <c r="J18" s="319">
        <f>'ig'!$E270</f>
        <v>11.26</v>
      </c>
      <c r="K18" s="36" t="str">
        <f>'ig'!$C271</f>
        <v>M Eldridge</v>
      </c>
      <c r="L18" s="36" t="str">
        <f>'ig'!$D271</f>
        <v>WB</v>
      </c>
      <c r="M18" s="319">
        <f>'ig'!$E271</f>
        <v>11.04</v>
      </c>
      <c r="N18" s="36" t="str">
        <f>'ig'!$C272</f>
        <v>A Watson</v>
      </c>
      <c r="O18" s="36" t="str">
        <f>'ig'!$D272</f>
        <v>BRK</v>
      </c>
      <c r="P18" s="36">
        <f>'ig'!$E272</f>
        <v>10.16</v>
      </c>
      <c r="Q18" s="36" t="str">
        <f>'ig'!$C273</f>
        <v>B Abnett</v>
      </c>
      <c r="R18" s="36" t="str">
        <f>'ig'!$D273</f>
        <v>WOK</v>
      </c>
      <c r="S18" s="36">
        <f>'ig'!$E273</f>
        <v>8.81</v>
      </c>
      <c r="T18" s="36" t="str">
        <f>'ig'!$C274</f>
        <v>C Cuthill</v>
      </c>
      <c r="U18" s="36" t="str">
        <f>'ig'!$D274</f>
        <v>BRK</v>
      </c>
      <c r="V18" s="36">
        <f>'ig'!$E274</f>
        <v>7.79</v>
      </c>
      <c r="W18" s="125">
        <f t="shared" si="6"/>
        <v>4</v>
      </c>
      <c r="X18" s="33">
        <f t="shared" si="1"/>
        <v>6</v>
      </c>
      <c r="Y18" s="33">
        <f t="shared" si="2"/>
        <v>7</v>
      </c>
      <c r="Z18" s="33">
        <f t="shared" si="3"/>
        <v>4</v>
      </c>
      <c r="AA18" s="33">
        <f t="shared" si="4"/>
        <v>0</v>
      </c>
      <c r="AB18" s="33">
        <f t="shared" si="5"/>
        <v>0</v>
      </c>
    </row>
    <row r="19" spans="1:28" ht="19.5" customHeight="1">
      <c r="A19" s="33" t="s">
        <v>73</v>
      </c>
      <c r="B19" s="35">
        <v>32.14</v>
      </c>
      <c r="C19" s="35">
        <v>37</v>
      </c>
      <c r="D19" s="35">
        <v>40</v>
      </c>
      <c r="E19" s="36" t="str">
        <f>'ig'!$C237</f>
        <v>Charlotte West</v>
      </c>
      <c r="F19" s="36" t="str">
        <f>'ig'!$D237</f>
        <v>WOK</v>
      </c>
      <c r="G19" s="319">
        <f>'ig'!$E237</f>
        <v>41.45</v>
      </c>
      <c r="H19" s="36" t="str">
        <f>'ig'!$C238</f>
        <v>E Leesen</v>
      </c>
      <c r="I19" s="36" t="str">
        <f>'ig'!$D238</f>
        <v>WOK</v>
      </c>
      <c r="J19" s="318">
        <f>'ig'!$E238</f>
        <v>37.53</v>
      </c>
      <c r="K19" s="36" t="str">
        <f>'ig'!$C239</f>
        <v>Jodie Smith</v>
      </c>
      <c r="L19" s="36" t="str">
        <f>'ig'!$D239</f>
        <v>W&amp;M</v>
      </c>
      <c r="M19" s="36">
        <f>'ig'!$E239</f>
        <v>34.35</v>
      </c>
      <c r="N19" s="36" t="str">
        <f>'ig'!$C240</f>
        <v>A Mitchell</v>
      </c>
      <c r="O19" s="36" t="str">
        <f>'ig'!$D240</f>
        <v>BRK</v>
      </c>
      <c r="P19" s="36">
        <f>'ig'!$E240</f>
        <v>27.55</v>
      </c>
      <c r="Q19" s="36" t="str">
        <f>'ig'!$C241</f>
        <v>A Livingstone</v>
      </c>
      <c r="R19" s="36" t="str">
        <f>'ig'!$D241</f>
        <v>WB</v>
      </c>
      <c r="S19" s="36">
        <f>'ig'!$E241</f>
        <v>27.05</v>
      </c>
      <c r="T19" s="36" t="str">
        <f>'ig'!$C242</f>
        <v>Annabella Pettipher</v>
      </c>
      <c r="U19" s="36" t="str">
        <f>'ig'!$D242</f>
        <v>W&amp;M</v>
      </c>
      <c r="V19" s="36">
        <f>'ig'!$E242</f>
        <v>26.47</v>
      </c>
      <c r="W19" s="125">
        <f t="shared" si="6"/>
        <v>2</v>
      </c>
      <c r="X19" s="33">
        <f t="shared" si="1"/>
        <v>0</v>
      </c>
      <c r="Y19" s="33">
        <f t="shared" si="2"/>
        <v>11</v>
      </c>
      <c r="Z19" s="33">
        <f t="shared" si="3"/>
        <v>3</v>
      </c>
      <c r="AA19" s="33">
        <f t="shared" si="4"/>
        <v>5</v>
      </c>
      <c r="AB19" s="33">
        <f t="shared" si="5"/>
        <v>0</v>
      </c>
    </row>
    <row r="20" spans="1:28" ht="19.5" customHeight="1">
      <c r="A20" s="33" t="s">
        <v>78</v>
      </c>
      <c r="B20" s="35">
        <v>39.48</v>
      </c>
      <c r="C20" s="35">
        <v>47</v>
      </c>
      <c r="D20" s="35">
        <v>53</v>
      </c>
      <c r="E20" s="36">
        <f>'ig'!$C185</f>
      </c>
      <c r="F20" s="36">
        <f>'ig'!$D185</f>
      </c>
      <c r="G20" s="36">
        <f>'ig'!$E185</f>
        <v>0</v>
      </c>
      <c r="H20" s="36">
        <f>'ig'!$C186</f>
      </c>
      <c r="I20" s="36">
        <f>'ig'!$D186</f>
      </c>
      <c r="J20" s="36">
        <f>'ig'!$E186</f>
        <v>0</v>
      </c>
      <c r="K20" s="36">
        <f>'ig'!$C187</f>
      </c>
      <c r="L20" s="36">
        <f>'ig'!$D187</f>
      </c>
      <c r="M20" s="36">
        <f>'ig'!$E187</f>
        <v>0</v>
      </c>
      <c r="N20" s="36">
        <f>'ig'!$C188</f>
      </c>
      <c r="O20" s="36">
        <f>'ig'!$D188</f>
      </c>
      <c r="P20" s="36">
        <f>'ig'!$E188</f>
        <v>0</v>
      </c>
      <c r="Q20" s="36">
        <f>'ig'!$C189</f>
      </c>
      <c r="R20" s="36">
        <f>'ig'!$D189</f>
      </c>
      <c r="S20" s="36">
        <f>'ig'!$E189</f>
        <v>0</v>
      </c>
      <c r="T20" s="36">
        <f>'ig'!$C190</f>
      </c>
      <c r="U20" s="36">
        <f>'ig'!$D190</f>
      </c>
      <c r="V20" s="36">
        <f>'ig'!$E190</f>
        <v>0</v>
      </c>
      <c r="W20" s="125">
        <f t="shared" si="6"/>
        <v>0</v>
      </c>
      <c r="X20" s="33">
        <f t="shared" si="1"/>
        <v>0</v>
      </c>
      <c r="Y20" s="33">
        <f t="shared" si="2"/>
        <v>0</v>
      </c>
      <c r="Z20" s="33">
        <f t="shared" si="3"/>
        <v>0</v>
      </c>
      <c r="AA20" s="33">
        <f t="shared" si="4"/>
        <v>0</v>
      </c>
      <c r="AB20" s="33">
        <f t="shared" si="5"/>
        <v>0</v>
      </c>
    </row>
    <row r="21" spans="1:28" ht="13.5">
      <c r="A21" s="33"/>
      <c r="B21" s="35"/>
      <c r="C21" s="35"/>
      <c r="D21" s="35"/>
      <c r="G21" s="28"/>
      <c r="M21" s="38"/>
      <c r="T21" s="27" t="s">
        <v>74</v>
      </c>
      <c r="V21" s="37"/>
      <c r="W21" s="124">
        <f aca="true" t="shared" si="7" ref="W21:AB21">SUM(W3:W20)</f>
        <v>47</v>
      </c>
      <c r="X21" s="27">
        <f t="shared" si="7"/>
        <v>54</v>
      </c>
      <c r="Y21" s="27">
        <f t="shared" si="7"/>
        <v>71</v>
      </c>
      <c r="Z21" s="27">
        <f t="shared" si="7"/>
        <v>79</v>
      </c>
      <c r="AA21" s="27">
        <f t="shared" si="7"/>
        <v>36</v>
      </c>
      <c r="AB21" s="27">
        <f t="shared" si="7"/>
        <v>7</v>
      </c>
    </row>
    <row r="22" spans="2:28" ht="12.75">
      <c r="B22" s="26"/>
      <c r="C22" s="26"/>
      <c r="D22" s="26"/>
      <c r="G22" s="28"/>
      <c r="T22" s="27" t="s">
        <v>75</v>
      </c>
      <c r="V22" s="37"/>
      <c r="W22" s="124">
        <f aca="true" t="shared" si="8" ref="W22:AB22">COUNT(W3:W20)</f>
        <v>17</v>
      </c>
      <c r="X22" s="27">
        <f t="shared" si="8"/>
        <v>17</v>
      </c>
      <c r="Y22" s="27">
        <f t="shared" si="8"/>
        <v>17</v>
      </c>
      <c r="Z22" s="27">
        <f t="shared" si="8"/>
        <v>17</v>
      </c>
      <c r="AA22" s="27">
        <f t="shared" si="8"/>
        <v>17</v>
      </c>
      <c r="AB22" s="27">
        <f t="shared" si="8"/>
        <v>17</v>
      </c>
    </row>
  </sheetData>
  <sheetProtection/>
  <printOptions gridLines="1"/>
  <pageMargins left="0" right="0" top="1.5748031496062993" bottom="0.3937007874015748" header="0.3937007874015748" footer="0.1968503937007874"/>
  <pageSetup fitToHeight="1" fitToWidth="1" horizontalDpi="300" verticalDpi="300" orientation="landscape" paperSize="9" scale="95" r:id="rId2"/>
  <headerFooter alignWithMargins="0">
    <oddHeader>&amp;L&amp;G&amp;C&amp;"Arial,Bold"&amp;18Berkshire Schools Track &amp;&amp; Field Championships
Saturday, 12 June 2010
Palmer Park Reading&amp;"Arial,Regular"&amp;10
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R301"/>
  <sheetViews>
    <sheetView tabSelected="1" zoomScalePageLayoutView="0" workbookViewId="0" topLeftCell="A1">
      <pane ySplit="1" topLeftCell="A273" activePane="bottomLeft" state="frozen"/>
      <selection pane="topLeft" activeCell="A1" sqref="A1"/>
      <selection pane="bottomLeft" activeCell="E296" sqref="E296"/>
    </sheetView>
  </sheetViews>
  <sheetFormatPr defaultColWidth="9.140625" defaultRowHeight="12.75"/>
  <cols>
    <col min="2" max="2" width="9.140625" style="144" customWidth="1"/>
    <col min="5" max="5" width="9.140625" style="144" customWidth="1"/>
    <col min="7" max="8" width="4.8515625" style="55" customWidth="1"/>
    <col min="10" max="10" width="9.140625" style="12" customWidth="1"/>
    <col min="11" max="11" width="9.140625" style="161" customWidth="1"/>
    <col min="17" max="18" width="4.421875" style="55" customWidth="1"/>
  </cols>
  <sheetData>
    <row r="1" spans="1:18" s="14" customFormat="1" ht="12.75">
      <c r="A1" s="14" t="s">
        <v>28</v>
      </c>
      <c r="B1" s="143"/>
      <c r="E1" s="143"/>
      <c r="G1" s="51"/>
      <c r="H1" s="51"/>
      <c r="J1" s="15"/>
      <c r="K1" s="160"/>
      <c r="Q1" s="51"/>
      <c r="R1" s="51"/>
    </row>
    <row r="3" spans="1:18" s="14" customFormat="1" ht="12.75">
      <c r="A3" s="14" t="s">
        <v>130</v>
      </c>
      <c r="B3" s="143"/>
      <c r="E3" s="143"/>
      <c r="G3" s="51"/>
      <c r="H3" s="51"/>
      <c r="J3" s="15"/>
      <c r="K3" s="160"/>
      <c r="Q3" s="51"/>
      <c r="R3" s="51"/>
    </row>
    <row r="4" spans="1:11" ht="12.75">
      <c r="A4" s="1" t="s">
        <v>0</v>
      </c>
      <c r="B4" s="134" t="s">
        <v>1</v>
      </c>
      <c r="C4" s="3" t="s">
        <v>2</v>
      </c>
      <c r="D4" s="4" t="s">
        <v>3</v>
      </c>
      <c r="E4" s="147" t="s">
        <v>4</v>
      </c>
      <c r="F4" s="16" t="s">
        <v>24</v>
      </c>
      <c r="I4" t="s">
        <v>6</v>
      </c>
      <c r="J4" s="12">
        <v>56.4</v>
      </c>
      <c r="K4" s="161" t="s">
        <v>737</v>
      </c>
    </row>
    <row r="5" spans="1:10" ht="12.75">
      <c r="A5" s="6">
        <v>1</v>
      </c>
      <c r="B5" s="138">
        <v>1</v>
      </c>
      <c r="C5" s="8" t="str">
        <f>IF(OR($B5=0,$B5=""),"",VLOOKUP($B5,ib400mh,2,FALSE))</f>
        <v>C McWilliam</v>
      </c>
      <c r="D5" s="8" t="str">
        <f>IF(OR($B5=0,$B5=""),"",VLOOKUP($B5,ib400mh,3,FALSE))</f>
        <v>BRK</v>
      </c>
      <c r="E5" s="148">
        <v>65.7</v>
      </c>
      <c r="F5">
        <v>6</v>
      </c>
      <c r="G5" s="55">
        <f>IF(E5="","",IF(E5&gt;J4,"","CBP"))</f>
      </c>
      <c r="H5" s="55">
        <f aca="true" t="shared" si="0" ref="H5:H10">IF(E5="","",IF(E5&gt;J$5,"","ESQ"))</f>
      </c>
      <c r="I5" t="s">
        <v>26</v>
      </c>
      <c r="J5" s="12">
        <v>58</v>
      </c>
    </row>
    <row r="6" spans="1:8" ht="12.75">
      <c r="A6" s="6">
        <v>2</v>
      </c>
      <c r="B6" s="138"/>
      <c r="C6" s="8">
        <f>IF(OR($B6=0,$B6=""),"",VLOOKUP($B6,t2ib400mh,2,FALSE))</f>
      </c>
      <c r="D6" s="8">
        <f>IF(OR($B6=0,$B6=""),"",VLOOKUP($B6,t2ib400mh,3,FALSE))</f>
      </c>
      <c r="E6" s="148"/>
      <c r="F6">
        <v>5</v>
      </c>
      <c r="H6" s="55">
        <f t="shared" si="0"/>
      </c>
    </row>
    <row r="7" spans="1:8" ht="12.75">
      <c r="A7" s="6">
        <v>3</v>
      </c>
      <c r="B7" s="145"/>
      <c r="C7" s="8">
        <f>IF(OR($B7=0,$B7=""),"",VLOOKUP($B7,t2ib400mh,2,FALSE))</f>
      </c>
      <c r="D7" s="8">
        <f>IF(OR($B7=0,$B7=""),"",VLOOKUP($B7,t2ib400mh,3,FALSE))</f>
      </c>
      <c r="E7" s="148"/>
      <c r="F7">
        <v>4</v>
      </c>
      <c r="H7" s="55">
        <f t="shared" si="0"/>
      </c>
    </row>
    <row r="8" spans="1:8" ht="12.75">
      <c r="A8" s="6">
        <v>4</v>
      </c>
      <c r="B8" s="141"/>
      <c r="C8" s="8">
        <f>IF(OR($B8=0,$B8=""),"",VLOOKUP($B8,t2ib400mh,2,FALSE))</f>
      </c>
      <c r="D8" s="8">
        <f>IF(OR($B8=0,$B8=""),"",VLOOKUP($B8,t2ib400mh,3,FALSE))</f>
      </c>
      <c r="E8" s="148"/>
      <c r="F8">
        <v>3</v>
      </c>
      <c r="H8" s="55">
        <f t="shared" si="0"/>
      </c>
    </row>
    <row r="9" spans="1:8" ht="12.75">
      <c r="A9" s="6">
        <v>5</v>
      </c>
      <c r="B9" s="132"/>
      <c r="C9" s="8">
        <f>IF(OR($B9=0,$B9=""),"",VLOOKUP($B9,t2ib400mh,2,FALSE))</f>
      </c>
      <c r="D9" s="8">
        <f>IF(OR($B9=0,$B9=""),"",VLOOKUP($B9,t2ib400mh,3,FALSE))</f>
      </c>
      <c r="E9" s="148"/>
      <c r="F9">
        <v>2</v>
      </c>
      <c r="H9" s="55">
        <f t="shared" si="0"/>
      </c>
    </row>
    <row r="10" spans="1:8" ht="12.75">
      <c r="A10" s="6">
        <v>6</v>
      </c>
      <c r="B10" s="145"/>
      <c r="C10" s="8">
        <f>IF(OR($B10=0,$B10=""),"",VLOOKUP($B10,t2ib400mh,2,FALSE))</f>
      </c>
      <c r="D10" s="8">
        <f>IF(OR($B10=0,$B10=""),"",VLOOKUP($B10,t2ib400mh,3,FALSE))</f>
      </c>
      <c r="E10" s="148"/>
      <c r="F10">
        <v>1</v>
      </c>
      <c r="H10" s="55">
        <f t="shared" si="0"/>
      </c>
    </row>
    <row r="12" spans="1:18" s="14" customFormat="1" ht="12.75">
      <c r="A12" s="14" t="s">
        <v>218</v>
      </c>
      <c r="B12" s="143"/>
      <c r="E12" s="143"/>
      <c r="G12" s="51"/>
      <c r="H12" s="51"/>
      <c r="K12" s="160"/>
      <c r="Q12" s="51"/>
      <c r="R12" s="51"/>
    </row>
    <row r="13" spans="1:10" ht="12.75">
      <c r="A13" t="s">
        <v>32</v>
      </c>
      <c r="J13"/>
    </row>
    <row r="14" spans="1:16" ht="12.75">
      <c r="A14" s="1" t="s">
        <v>0</v>
      </c>
      <c r="B14" s="134" t="s">
        <v>1</v>
      </c>
      <c r="C14" s="3" t="s">
        <v>2</v>
      </c>
      <c r="D14" s="4" t="s">
        <v>3</v>
      </c>
      <c r="E14" s="147" t="s">
        <v>4</v>
      </c>
      <c r="F14" s="16" t="s">
        <v>114</v>
      </c>
      <c r="I14" t="s">
        <v>6</v>
      </c>
      <c r="J14" s="12">
        <v>10.9</v>
      </c>
      <c r="K14" s="158" t="s">
        <v>342</v>
      </c>
      <c r="L14" s="2"/>
      <c r="M14" s="3"/>
      <c r="N14" s="4"/>
      <c r="O14" s="5"/>
      <c r="P14" s="16"/>
    </row>
    <row r="15" spans="1:15" ht="12.75">
      <c r="A15" s="6">
        <v>1</v>
      </c>
      <c r="B15" s="138"/>
      <c r="C15" s="8">
        <f aca="true" t="shared" si="1" ref="C15:C20">IF(OR($B15=0,$B15=""),"",VLOOKUP($B15,ib100m,2,FALSE))</f>
      </c>
      <c r="D15" s="8">
        <f aca="true" t="shared" si="2" ref="D15:D29">IF(OR($B15=0,$B15=""),"",VLOOKUP($B15,ib100m,3,FALSE))</f>
      </c>
      <c r="E15" s="148"/>
      <c r="F15" t="s">
        <v>123</v>
      </c>
      <c r="G15" s="55">
        <f>IF(E15="","",IF(E15&gt;J14,"","CBP"))</f>
      </c>
      <c r="H15" s="55">
        <f aca="true" t="shared" si="3" ref="H15:H28">IF(E15="","",IF(E15&gt;J$15,"","ESQ"))</f>
      </c>
      <c r="I15" t="s">
        <v>26</v>
      </c>
      <c r="J15" s="12">
        <v>11.2</v>
      </c>
      <c r="K15" s="158"/>
      <c r="L15" s="7"/>
      <c r="M15" s="8"/>
      <c r="N15" s="8"/>
      <c r="O15" s="9"/>
    </row>
    <row r="16" spans="1:15" ht="12.75">
      <c r="A16" s="6">
        <v>2</v>
      </c>
      <c r="B16" s="138"/>
      <c r="C16" s="8">
        <f t="shared" si="1"/>
      </c>
      <c r="D16" s="8">
        <f t="shared" si="2"/>
      </c>
      <c r="E16" s="148"/>
      <c r="F16" t="s">
        <v>123</v>
      </c>
      <c r="H16" s="55">
        <f t="shared" si="3"/>
      </c>
      <c r="K16" s="158"/>
      <c r="L16" s="7"/>
      <c r="M16" s="8"/>
      <c r="N16" s="8"/>
      <c r="O16" s="9"/>
    </row>
    <row r="17" spans="1:15" ht="12.75">
      <c r="A17" s="6">
        <v>3</v>
      </c>
      <c r="B17" s="145"/>
      <c r="C17" s="8">
        <f t="shared" si="1"/>
      </c>
      <c r="D17" s="8">
        <f t="shared" si="2"/>
      </c>
      <c r="E17" s="148"/>
      <c r="F17" s="42"/>
      <c r="H17" s="55">
        <f t="shared" si="3"/>
      </c>
      <c r="K17" s="158"/>
      <c r="L17" s="10"/>
      <c r="M17" s="8"/>
      <c r="N17" s="8"/>
      <c r="O17" s="9"/>
    </row>
    <row r="18" spans="1:15" ht="12.75">
      <c r="A18" s="6">
        <v>4</v>
      </c>
      <c r="B18" s="141"/>
      <c r="C18" s="8">
        <f t="shared" si="1"/>
      </c>
      <c r="D18" s="8">
        <f t="shared" si="2"/>
      </c>
      <c r="E18" s="148"/>
      <c r="F18" s="42"/>
      <c r="H18" s="55">
        <f t="shared" si="3"/>
      </c>
      <c r="K18" s="158"/>
      <c r="L18" s="11"/>
      <c r="M18" s="8"/>
      <c r="N18" s="8"/>
      <c r="O18" s="9"/>
    </row>
    <row r="19" spans="1:15" ht="12.75">
      <c r="A19" s="6">
        <v>5</v>
      </c>
      <c r="B19" s="132"/>
      <c r="C19" s="8">
        <f t="shared" si="1"/>
      </c>
      <c r="D19" s="8">
        <f t="shared" si="2"/>
      </c>
      <c r="E19" s="148"/>
      <c r="H19" s="55">
        <f t="shared" si="3"/>
      </c>
      <c r="K19" s="158"/>
      <c r="L19" s="6"/>
      <c r="M19" s="8"/>
      <c r="N19" s="8"/>
      <c r="O19" s="9"/>
    </row>
    <row r="20" spans="1:15" ht="12.75">
      <c r="A20" s="6">
        <v>6</v>
      </c>
      <c r="B20" s="145"/>
      <c r="C20" s="8">
        <f t="shared" si="1"/>
      </c>
      <c r="D20" s="8">
        <f t="shared" si="2"/>
      </c>
      <c r="E20" s="148"/>
      <c r="H20" s="55">
        <f t="shared" si="3"/>
      </c>
      <c r="K20" s="158"/>
      <c r="L20" s="10"/>
      <c r="M20" s="8"/>
      <c r="N20" s="8"/>
      <c r="O20" s="9"/>
    </row>
    <row r="21" spans="1:15" ht="12.75">
      <c r="A21" t="s">
        <v>33</v>
      </c>
      <c r="H21" s="55">
        <f t="shared" si="3"/>
      </c>
      <c r="K21" s="158"/>
      <c r="L21" s="10"/>
      <c r="M21" s="8"/>
      <c r="N21" s="8"/>
      <c r="O21" s="9"/>
    </row>
    <row r="22" spans="1:15" ht="12.75">
      <c r="A22" s="1" t="s">
        <v>0</v>
      </c>
      <c r="B22" s="134" t="s">
        <v>1</v>
      </c>
      <c r="C22" s="3" t="s">
        <v>2</v>
      </c>
      <c r="D22" s="4" t="s">
        <v>3</v>
      </c>
      <c r="E22" s="147" t="s">
        <v>4</v>
      </c>
      <c r="F22" s="16" t="s">
        <v>114</v>
      </c>
      <c r="H22" s="55">
        <f t="shared" si="3"/>
      </c>
      <c r="K22" s="158"/>
      <c r="L22" s="10"/>
      <c r="M22" s="8"/>
      <c r="N22" s="8"/>
      <c r="O22" s="9"/>
    </row>
    <row r="23" spans="1:15" ht="12.75">
      <c r="A23" s="6">
        <v>1</v>
      </c>
      <c r="B23" s="138"/>
      <c r="C23" s="8">
        <f aca="true" t="shared" si="4" ref="C23:C28">IF(OR($B23=0,$B23=""),"",VLOOKUP($B23,ib100m,2,FALSE))</f>
      </c>
      <c r="D23" s="8">
        <f t="shared" si="2"/>
      </c>
      <c r="E23" s="148"/>
      <c r="F23" t="s">
        <v>123</v>
      </c>
      <c r="H23" s="55">
        <f t="shared" si="3"/>
      </c>
      <c r="K23" s="158"/>
      <c r="L23" s="10"/>
      <c r="M23" s="8"/>
      <c r="N23" s="8"/>
      <c r="O23" s="9"/>
    </row>
    <row r="24" spans="1:15" ht="12.75">
      <c r="A24" s="6">
        <v>2</v>
      </c>
      <c r="B24" s="138"/>
      <c r="C24" s="8">
        <f t="shared" si="4"/>
      </c>
      <c r="D24" s="8">
        <f t="shared" si="2"/>
      </c>
      <c r="E24" s="148"/>
      <c r="F24" t="s">
        <v>123</v>
      </c>
      <c r="H24" s="55">
        <f t="shared" si="3"/>
      </c>
      <c r="K24" s="158"/>
      <c r="L24" s="10"/>
      <c r="M24" s="8"/>
      <c r="N24" s="8"/>
      <c r="O24" s="9"/>
    </row>
    <row r="25" spans="1:15" ht="12.75">
      <c r="A25" s="6">
        <v>3</v>
      </c>
      <c r="B25" s="145"/>
      <c r="C25" s="8">
        <f t="shared" si="4"/>
      </c>
      <c r="D25" s="8">
        <f t="shared" si="2"/>
      </c>
      <c r="E25" s="148"/>
      <c r="H25" s="55">
        <f t="shared" si="3"/>
      </c>
      <c r="K25" s="158"/>
      <c r="L25" s="10"/>
      <c r="M25" s="8"/>
      <c r="N25" s="8"/>
      <c r="O25" s="9"/>
    </row>
    <row r="26" spans="1:15" ht="12.75">
      <c r="A26" s="6">
        <v>4</v>
      </c>
      <c r="B26" s="141"/>
      <c r="C26" s="8">
        <f t="shared" si="4"/>
      </c>
      <c r="D26" s="8">
        <f t="shared" si="2"/>
      </c>
      <c r="E26" s="148"/>
      <c r="H26" s="55">
        <f t="shared" si="3"/>
      </c>
      <c r="K26" s="158"/>
      <c r="L26" s="10"/>
      <c r="M26" s="8"/>
      <c r="N26" s="8"/>
      <c r="O26" s="9"/>
    </row>
    <row r="27" spans="1:15" ht="12.75">
      <c r="A27" s="6">
        <v>5</v>
      </c>
      <c r="B27" s="132"/>
      <c r="C27" s="8">
        <f t="shared" si="4"/>
      </c>
      <c r="D27" s="8">
        <f t="shared" si="2"/>
      </c>
      <c r="E27" s="148"/>
      <c r="H27" s="55">
        <f t="shared" si="3"/>
      </c>
      <c r="K27" s="158"/>
      <c r="L27" s="10"/>
      <c r="M27" s="8"/>
      <c r="N27" s="8"/>
      <c r="O27" s="9"/>
    </row>
    <row r="28" spans="1:15" ht="12.75">
      <c r="A28" s="6">
        <v>6</v>
      </c>
      <c r="B28" s="145"/>
      <c r="C28" s="8">
        <f t="shared" si="4"/>
      </c>
      <c r="D28" s="8">
        <f t="shared" si="2"/>
      </c>
      <c r="E28" s="148"/>
      <c r="H28" s="55">
        <f t="shared" si="3"/>
      </c>
      <c r="K28" s="158"/>
      <c r="L28" s="10"/>
      <c r="M28" s="8"/>
      <c r="N28" s="8"/>
      <c r="O28" s="9"/>
    </row>
    <row r="29" spans="1:15" ht="12.75">
      <c r="A29" s="6"/>
      <c r="D29" s="8">
        <f t="shared" si="2"/>
      </c>
      <c r="K29" s="158"/>
      <c r="L29" s="39"/>
      <c r="M29" s="8">
        <f>IF(OR($L29=0,$L29=""),"",VLOOKUP($L29,ib100m,2,FALSE))</f>
      </c>
      <c r="N29" s="8">
        <f>IF(OR($L29=0,$L29=""),"",VLOOKUP($L29,ib100m,3,FALSE))</f>
      </c>
      <c r="O29" s="9"/>
    </row>
    <row r="30" spans="1:10" ht="12.75">
      <c r="A30" s="14" t="s">
        <v>132</v>
      </c>
      <c r="B30" s="143"/>
      <c r="C30" s="14"/>
      <c r="D30" s="14"/>
      <c r="E30" s="143"/>
      <c r="F30" s="14"/>
      <c r="G30" s="51"/>
      <c r="H30" s="51"/>
      <c r="I30" s="14"/>
      <c r="J30" s="14"/>
    </row>
    <row r="31" spans="9:14" ht="12.75">
      <c r="I31" s="296"/>
      <c r="J31" s="295"/>
      <c r="K31" s="297"/>
      <c r="L31" s="296"/>
      <c r="M31" s="296"/>
      <c r="N31" s="296"/>
    </row>
    <row r="32" spans="1:14" ht="12.75">
      <c r="A32" s="1" t="s">
        <v>0</v>
      </c>
      <c r="B32" s="134" t="s">
        <v>1</v>
      </c>
      <c r="C32" s="3" t="s">
        <v>2</v>
      </c>
      <c r="D32" s="4" t="s">
        <v>3</v>
      </c>
      <c r="E32" s="147" t="s">
        <v>4</v>
      </c>
      <c r="F32" s="16" t="s">
        <v>24</v>
      </c>
      <c r="I32" s="296" t="s">
        <v>6</v>
      </c>
      <c r="J32" s="312">
        <v>0.0013275462962962963</v>
      </c>
      <c r="K32" s="297" t="s">
        <v>739</v>
      </c>
      <c r="L32" s="296"/>
      <c r="M32" s="296"/>
      <c r="N32" s="296"/>
    </row>
    <row r="33" spans="1:10" ht="12.75">
      <c r="A33" s="6">
        <v>1</v>
      </c>
      <c r="B33" s="138">
        <v>1</v>
      </c>
      <c r="C33" s="8" t="str">
        <f aca="true" t="shared" si="5" ref="C33:C46">IF(OR($B33=0,$B33=""),"",VLOOKUP($B33,ib800m,2,FALSE))</f>
        <v>Harry Digby</v>
      </c>
      <c r="D33" s="8" t="str">
        <f aca="true" t="shared" si="6" ref="D33:D46">IF(OR($B33=0,$B33=""),"",VLOOKUP($B33,ib800m,3,FALSE))</f>
        <v>BRK</v>
      </c>
      <c r="E33" s="149">
        <v>0.0013495370370370371</v>
      </c>
      <c r="F33">
        <v>6</v>
      </c>
      <c r="G33" s="55">
        <f>IF(E33="","",IF(E33&gt;J32,"","CBP"))</f>
      </c>
      <c r="H33" s="55" t="str">
        <f aca="true" t="shared" si="7" ref="H33:H44">IF(E33="","",IF(E33&gt;J$33,"","ESQ"))</f>
        <v>ESQ</v>
      </c>
      <c r="I33" t="s">
        <v>26</v>
      </c>
      <c r="J33" s="49">
        <v>0.001365740740740741</v>
      </c>
    </row>
    <row r="34" spans="1:8" ht="12.75">
      <c r="A34" s="6">
        <v>2</v>
      </c>
      <c r="B34" s="138">
        <v>5</v>
      </c>
      <c r="C34" s="8" t="str">
        <f t="shared" si="5"/>
        <v>Eddie Steveni</v>
      </c>
      <c r="D34" s="8" t="str">
        <f t="shared" si="6"/>
        <v>RDG</v>
      </c>
      <c r="E34" s="149">
        <v>0.001392361111111111</v>
      </c>
      <c r="F34">
        <v>5</v>
      </c>
      <c r="H34" s="55">
        <f t="shared" si="7"/>
      </c>
    </row>
    <row r="35" spans="1:8" ht="12.75">
      <c r="A35" s="6">
        <v>3</v>
      </c>
      <c r="B35" s="145">
        <v>2</v>
      </c>
      <c r="C35" s="8" t="str">
        <f t="shared" si="5"/>
        <v>Oliver Hall</v>
      </c>
      <c r="D35" s="8" t="str">
        <f t="shared" si="6"/>
        <v>BRK</v>
      </c>
      <c r="E35" s="149">
        <v>0.001443287037037037</v>
      </c>
      <c r="F35">
        <v>4</v>
      </c>
      <c r="H35" s="55">
        <f t="shared" si="7"/>
      </c>
    </row>
    <row r="36" spans="1:8" ht="12.75">
      <c r="A36" s="6">
        <v>4</v>
      </c>
      <c r="B36" s="141">
        <v>9</v>
      </c>
      <c r="C36" s="8" t="str">
        <f t="shared" si="5"/>
        <v>Sammy March</v>
      </c>
      <c r="D36" s="8" t="str">
        <f t="shared" si="6"/>
        <v>W&amp;M</v>
      </c>
      <c r="E36" s="149">
        <v>0.0015000000000000002</v>
      </c>
      <c r="F36">
        <v>3</v>
      </c>
      <c r="H36" s="55">
        <f t="shared" si="7"/>
      </c>
    </row>
    <row r="37" spans="1:8" ht="12.75">
      <c r="A37" s="6">
        <v>5</v>
      </c>
      <c r="B37" s="132">
        <v>11</v>
      </c>
      <c r="C37" s="8" t="str">
        <f t="shared" si="5"/>
        <v>T Sinfield</v>
      </c>
      <c r="D37" s="8" t="str">
        <f t="shared" si="6"/>
        <v>WOK</v>
      </c>
      <c r="E37" s="149">
        <v>0.0015185185185185182</v>
      </c>
      <c r="F37">
        <v>2</v>
      </c>
      <c r="H37" s="55">
        <f t="shared" si="7"/>
      </c>
    </row>
    <row r="38" spans="1:8" ht="12.75">
      <c r="A38" s="6">
        <v>6</v>
      </c>
      <c r="B38" s="145">
        <v>8</v>
      </c>
      <c r="C38" s="8" t="str">
        <f t="shared" si="5"/>
        <v>Morrison Cleaver</v>
      </c>
      <c r="D38" s="8" t="str">
        <f t="shared" si="6"/>
        <v>SL</v>
      </c>
      <c r="E38" s="149">
        <v>0.001519675925925926</v>
      </c>
      <c r="F38">
        <v>1</v>
      </c>
      <c r="H38" s="55">
        <f t="shared" si="7"/>
      </c>
    </row>
    <row r="39" spans="1:10" ht="12.75">
      <c r="A39" s="6">
        <v>7</v>
      </c>
      <c r="B39" s="146">
        <v>7</v>
      </c>
      <c r="C39" s="8" t="str">
        <f t="shared" si="5"/>
        <v>Theo Elwes</v>
      </c>
      <c r="D39" s="8" t="str">
        <f t="shared" si="6"/>
        <v>SL</v>
      </c>
      <c r="E39" s="149">
        <v>0.0015416666666666669</v>
      </c>
      <c r="H39" s="55">
        <f t="shared" si="7"/>
      </c>
      <c r="J39"/>
    </row>
    <row r="40" spans="1:10" ht="12.75">
      <c r="A40" s="6">
        <v>8</v>
      </c>
      <c r="B40" s="146">
        <v>10</v>
      </c>
      <c r="C40" s="8" t="str">
        <f t="shared" si="5"/>
        <v>Matthew Daines</v>
      </c>
      <c r="D40" s="8" t="str">
        <f t="shared" si="6"/>
        <v>W&amp;M</v>
      </c>
      <c r="E40" s="149">
        <v>0.0015497685185185182</v>
      </c>
      <c r="H40" s="55">
        <f t="shared" si="7"/>
      </c>
      <c r="J40"/>
    </row>
    <row r="41" spans="1:10" ht="12.75">
      <c r="A41" s="6">
        <v>9</v>
      </c>
      <c r="B41" s="146">
        <v>3</v>
      </c>
      <c r="C41" s="8" t="str">
        <f t="shared" si="5"/>
        <v>S Bonnet</v>
      </c>
      <c r="D41" s="8" t="str">
        <f t="shared" si="6"/>
        <v>WB</v>
      </c>
      <c r="E41" s="149">
        <v>0.0015532407407407407</v>
      </c>
      <c r="H41" s="55">
        <f t="shared" si="7"/>
      </c>
      <c r="J41"/>
    </row>
    <row r="42" spans="1:10" ht="12.75">
      <c r="A42" s="6">
        <v>10</v>
      </c>
      <c r="B42" s="301">
        <v>4</v>
      </c>
      <c r="C42" s="8" t="str">
        <f t="shared" si="5"/>
        <v>F Walker</v>
      </c>
      <c r="D42" s="8" t="str">
        <f t="shared" si="6"/>
        <v>WB</v>
      </c>
      <c r="E42" s="150">
        <v>0.0016701388888888892</v>
      </c>
      <c r="H42" s="55">
        <f t="shared" si="7"/>
      </c>
      <c r="J42"/>
    </row>
    <row r="43" spans="1:10" ht="12.75">
      <c r="A43" s="6">
        <v>11</v>
      </c>
      <c r="B43" s="301">
        <v>12</v>
      </c>
      <c r="C43" s="8" t="str">
        <f t="shared" si="5"/>
        <v>S Walker-Boyd</v>
      </c>
      <c r="D43" s="8" t="str">
        <f t="shared" si="6"/>
        <v>WOK</v>
      </c>
      <c r="E43" s="150">
        <v>0.0017164351851851852</v>
      </c>
      <c r="H43" s="55">
        <f t="shared" si="7"/>
      </c>
      <c r="J43"/>
    </row>
    <row r="44" spans="1:10" ht="12.75">
      <c r="A44" s="6">
        <v>12</v>
      </c>
      <c r="B44" s="303" t="s">
        <v>742</v>
      </c>
      <c r="C44" s="8" t="str">
        <f t="shared" si="5"/>
        <v>Joe Riley</v>
      </c>
      <c r="D44" s="8" t="str">
        <f t="shared" si="6"/>
        <v>RDG</v>
      </c>
      <c r="E44" s="150">
        <v>0.0017430555555555552</v>
      </c>
      <c r="H44" s="55">
        <f t="shared" si="7"/>
      </c>
      <c r="J44"/>
    </row>
    <row r="45" spans="1:10" ht="12.75">
      <c r="A45" s="6">
        <v>13</v>
      </c>
      <c r="B45" s="301"/>
      <c r="C45" s="8">
        <f t="shared" si="5"/>
      </c>
      <c r="D45" s="8">
        <f t="shared" si="6"/>
      </c>
      <c r="E45" s="150"/>
      <c r="J45"/>
    </row>
    <row r="46" spans="3:4" ht="12.75">
      <c r="C46" s="8">
        <f t="shared" si="5"/>
      </c>
      <c r="D46" s="8">
        <f t="shared" si="6"/>
      </c>
    </row>
    <row r="47" spans="1:18" s="14" customFormat="1" ht="12.75">
      <c r="A47" s="169" t="s">
        <v>140</v>
      </c>
      <c r="B47" s="170"/>
      <c r="C47" s="169"/>
      <c r="D47" s="169"/>
      <c r="E47" s="170"/>
      <c r="F47" s="169"/>
      <c r="G47" s="171"/>
      <c r="H47" s="171"/>
      <c r="I47" s="169"/>
      <c r="J47" s="169"/>
      <c r="K47" s="160"/>
      <c r="Q47" s="51"/>
      <c r="R47" s="51"/>
    </row>
    <row r="48" spans="1:10" ht="12.75">
      <c r="A48" s="172" t="s">
        <v>32</v>
      </c>
      <c r="B48" s="173"/>
      <c r="C48" s="172"/>
      <c r="D48" s="172"/>
      <c r="E48" s="173"/>
      <c r="F48" s="172"/>
      <c r="G48" s="174"/>
      <c r="H48" s="174"/>
      <c r="I48" s="172"/>
      <c r="J48" s="172"/>
    </row>
    <row r="49" spans="1:16" ht="12.75">
      <c r="A49" s="175" t="s">
        <v>0</v>
      </c>
      <c r="B49" s="176" t="s">
        <v>1</v>
      </c>
      <c r="C49" s="177" t="s">
        <v>2</v>
      </c>
      <c r="D49" s="178" t="s">
        <v>3</v>
      </c>
      <c r="E49" s="179" t="s">
        <v>4</v>
      </c>
      <c r="F49" s="180" t="s">
        <v>114</v>
      </c>
      <c r="G49" s="174"/>
      <c r="H49" s="174"/>
      <c r="I49" t="s">
        <v>6</v>
      </c>
      <c r="J49" s="12">
        <v>13.3</v>
      </c>
      <c r="K49" s="161" t="s">
        <v>230</v>
      </c>
      <c r="L49" s="2"/>
      <c r="M49" s="3"/>
      <c r="N49" s="4"/>
      <c r="O49" s="5"/>
      <c r="P49" s="16"/>
    </row>
    <row r="50" spans="1:15" ht="12.75">
      <c r="A50" s="182">
        <v>1</v>
      </c>
      <c r="B50" s="183"/>
      <c r="C50" s="184">
        <f aca="true" t="shared" si="8" ref="C50:C55">IF(OR($B50=0,$B50=""),"",VLOOKUP($B50,ib100mh,2,FALSE))</f>
      </c>
      <c r="D50" s="184">
        <f aca="true" t="shared" si="9" ref="D50:D55">IF(OR($B50=0,$B50=""),"",VLOOKUP($B50,ib100mh,3,FALSE))</f>
      </c>
      <c r="E50" s="185"/>
      <c r="F50" s="172" t="s">
        <v>123</v>
      </c>
      <c r="G50" s="174">
        <f>IF(E50="","",IF(E50&gt;J49,"","CBP"))</f>
      </c>
      <c r="H50" s="174">
        <f>IF(E50="","",IF(E50&gt;J$50,"","ESQ"))</f>
      </c>
      <c r="I50" t="s">
        <v>26</v>
      </c>
      <c r="J50" s="12">
        <v>14.2</v>
      </c>
      <c r="L50" s="7"/>
      <c r="M50" s="8"/>
      <c r="N50" s="8"/>
      <c r="O50" s="9"/>
    </row>
    <row r="51" spans="1:15" ht="12.75">
      <c r="A51" s="182">
        <v>2</v>
      </c>
      <c r="B51" s="183"/>
      <c r="C51" s="184">
        <f t="shared" si="8"/>
      </c>
      <c r="D51" s="184">
        <f t="shared" si="9"/>
      </c>
      <c r="E51" s="186"/>
      <c r="F51" s="172" t="s">
        <v>123</v>
      </c>
      <c r="G51" s="174"/>
      <c r="H51" s="174">
        <f aca="true" t="shared" si="10" ref="H51:H63">IF(E51="","",IF(E51&gt;J$50,"","ESQ"))</f>
      </c>
      <c r="I51" s="172"/>
      <c r="J51" s="181"/>
      <c r="K51" s="158"/>
      <c r="L51" s="7"/>
      <c r="M51" s="8"/>
      <c r="N51" s="8"/>
      <c r="O51" s="9"/>
    </row>
    <row r="52" spans="1:16" ht="12.75">
      <c r="A52" s="182">
        <v>3</v>
      </c>
      <c r="B52" s="187"/>
      <c r="C52" s="184">
        <f t="shared" si="8"/>
      </c>
      <c r="D52" s="184">
        <f t="shared" si="9"/>
      </c>
      <c r="E52" s="186"/>
      <c r="F52" s="172"/>
      <c r="G52" s="174"/>
      <c r="H52" s="174">
        <f t="shared" si="10"/>
      </c>
      <c r="I52" s="172"/>
      <c r="J52" s="181"/>
      <c r="K52" s="158"/>
      <c r="L52" s="10"/>
      <c r="M52" s="8"/>
      <c r="N52" s="8"/>
      <c r="O52" s="9"/>
      <c r="P52" s="42"/>
    </row>
    <row r="53" spans="1:15" ht="12.75">
      <c r="A53" s="182">
        <v>4</v>
      </c>
      <c r="B53" s="188"/>
      <c r="C53" s="184">
        <f t="shared" si="8"/>
      </c>
      <c r="D53" s="184">
        <f t="shared" si="9"/>
      </c>
      <c r="E53" s="186"/>
      <c r="F53" s="172"/>
      <c r="G53" s="174"/>
      <c r="H53" s="174">
        <f t="shared" si="10"/>
      </c>
      <c r="I53" s="172"/>
      <c r="J53" s="181"/>
      <c r="K53" s="158"/>
      <c r="L53" s="11"/>
      <c r="M53" s="8"/>
      <c r="N53" s="8"/>
      <c r="O53" s="9"/>
    </row>
    <row r="54" spans="1:15" ht="12.75">
      <c r="A54" s="182">
        <v>5</v>
      </c>
      <c r="B54" s="189"/>
      <c r="C54" s="184">
        <f t="shared" si="8"/>
      </c>
      <c r="D54" s="184">
        <f t="shared" si="9"/>
      </c>
      <c r="E54" s="186"/>
      <c r="F54" s="172"/>
      <c r="G54" s="174"/>
      <c r="H54" s="174">
        <f t="shared" si="10"/>
      </c>
      <c r="I54" s="172"/>
      <c r="J54" s="181"/>
      <c r="K54" s="158"/>
      <c r="L54" s="6"/>
      <c r="M54" s="8"/>
      <c r="N54" s="8"/>
      <c r="O54" s="9"/>
    </row>
    <row r="55" spans="1:15" ht="12.75">
      <c r="A55" s="182">
        <v>6</v>
      </c>
      <c r="B55" s="187"/>
      <c r="C55" s="184">
        <f t="shared" si="8"/>
      </c>
      <c r="D55" s="184">
        <f t="shared" si="9"/>
      </c>
      <c r="E55" s="186"/>
      <c r="F55" s="172"/>
      <c r="G55" s="174"/>
      <c r="H55" s="174">
        <f t="shared" si="10"/>
      </c>
      <c r="I55" s="172"/>
      <c r="J55" s="181"/>
      <c r="K55" s="158"/>
      <c r="L55" s="10"/>
      <c r="M55" s="8"/>
      <c r="N55" s="8"/>
      <c r="O55" s="9"/>
    </row>
    <row r="56" spans="1:15" ht="12.75">
      <c r="A56" s="172" t="s">
        <v>33</v>
      </c>
      <c r="B56" s="173"/>
      <c r="C56" s="172"/>
      <c r="D56" s="172"/>
      <c r="E56" s="173"/>
      <c r="F56" s="172"/>
      <c r="G56" s="174"/>
      <c r="H56" s="174">
        <f t="shared" si="10"/>
      </c>
      <c r="I56" s="172"/>
      <c r="J56" s="181"/>
      <c r="K56" s="158"/>
      <c r="L56" s="10"/>
      <c r="M56" s="8"/>
      <c r="N56" s="8"/>
      <c r="O56" s="9"/>
    </row>
    <row r="57" spans="1:15" ht="12.75">
      <c r="A57" s="175" t="s">
        <v>0</v>
      </c>
      <c r="B57" s="176" t="s">
        <v>1</v>
      </c>
      <c r="C57" s="177" t="s">
        <v>2</v>
      </c>
      <c r="D57" s="178" t="s">
        <v>3</v>
      </c>
      <c r="E57" s="179" t="s">
        <v>4</v>
      </c>
      <c r="F57" s="180" t="s">
        <v>114</v>
      </c>
      <c r="G57" s="174"/>
      <c r="H57" s="174">
        <f t="shared" si="10"/>
      </c>
      <c r="I57" s="172"/>
      <c r="J57" s="181"/>
      <c r="K57" s="158"/>
      <c r="L57" s="10"/>
      <c r="M57" s="8"/>
      <c r="N57" s="8"/>
      <c r="O57" s="9"/>
    </row>
    <row r="58" spans="1:15" ht="12.75">
      <c r="A58" s="182">
        <v>1</v>
      </c>
      <c r="B58" s="183"/>
      <c r="C58" s="184">
        <f aca="true" t="shared" si="11" ref="C58:C63">IF(OR($B58=0,$B58=""),"",VLOOKUP($B58,ib100mh,2,FALSE))</f>
      </c>
      <c r="D58" s="184">
        <f aca="true" t="shared" si="12" ref="D58:D63">IF(OR($B58=0,$B58=""),"",VLOOKUP($B58,ib100mh,3,FALSE))</f>
      </c>
      <c r="E58" s="186"/>
      <c r="F58" s="172" t="s">
        <v>123</v>
      </c>
      <c r="G58" s="174">
        <f>IF(E58="","",IF(E58&gt;J49,"","CBP"))</f>
      </c>
      <c r="H58" s="174">
        <f t="shared" si="10"/>
      </c>
      <c r="I58" s="172"/>
      <c r="J58" s="181"/>
      <c r="K58" s="158"/>
      <c r="L58" s="10"/>
      <c r="M58" s="8"/>
      <c r="N58" s="8"/>
      <c r="O58" s="9"/>
    </row>
    <row r="59" spans="1:15" ht="12.75">
      <c r="A59" s="182">
        <v>2</v>
      </c>
      <c r="B59" s="183"/>
      <c r="C59" s="184">
        <f t="shared" si="11"/>
      </c>
      <c r="D59" s="184">
        <f t="shared" si="12"/>
      </c>
      <c r="E59" s="186"/>
      <c r="F59" s="172" t="s">
        <v>123</v>
      </c>
      <c r="G59" s="174"/>
      <c r="H59" s="174">
        <f t="shared" si="10"/>
      </c>
      <c r="I59" s="172"/>
      <c r="J59" s="181"/>
      <c r="K59" s="158"/>
      <c r="L59" s="10"/>
      <c r="M59" s="8"/>
      <c r="N59" s="8"/>
      <c r="O59" s="9"/>
    </row>
    <row r="60" spans="1:15" ht="12.75">
      <c r="A60" s="182">
        <v>3</v>
      </c>
      <c r="B60" s="187"/>
      <c r="C60" s="184">
        <f t="shared" si="11"/>
      </c>
      <c r="D60" s="184">
        <f t="shared" si="12"/>
      </c>
      <c r="E60" s="186"/>
      <c r="F60" s="172"/>
      <c r="G60" s="174"/>
      <c r="H60" s="174">
        <f t="shared" si="10"/>
      </c>
      <c r="I60" s="172"/>
      <c r="J60" s="181"/>
      <c r="K60" s="158"/>
      <c r="L60" s="10"/>
      <c r="M60" s="8"/>
      <c r="N60" s="8"/>
      <c r="O60" s="9"/>
    </row>
    <row r="61" spans="1:15" ht="12.75">
      <c r="A61" s="182">
        <v>4</v>
      </c>
      <c r="B61" s="188"/>
      <c r="C61" s="184">
        <f t="shared" si="11"/>
      </c>
      <c r="D61" s="184">
        <f t="shared" si="12"/>
      </c>
      <c r="E61" s="186"/>
      <c r="F61" s="172"/>
      <c r="G61" s="174"/>
      <c r="H61" s="174">
        <f t="shared" si="10"/>
      </c>
      <c r="I61" s="172"/>
      <c r="J61" s="181"/>
      <c r="K61" s="158"/>
      <c r="L61" s="10"/>
      <c r="M61" s="8"/>
      <c r="N61" s="8"/>
      <c r="O61" s="9"/>
    </row>
    <row r="62" spans="1:15" ht="12.75">
      <c r="A62" s="182">
        <v>5</v>
      </c>
      <c r="B62" s="189"/>
      <c r="C62" s="184">
        <f t="shared" si="11"/>
      </c>
      <c r="D62" s="184">
        <f t="shared" si="12"/>
      </c>
      <c r="E62" s="186"/>
      <c r="F62" s="172"/>
      <c r="G62" s="174"/>
      <c r="H62" s="174">
        <f t="shared" si="10"/>
      </c>
      <c r="I62" s="172"/>
      <c r="J62" s="181"/>
      <c r="K62" s="158"/>
      <c r="L62" s="10"/>
      <c r="M62" s="8"/>
      <c r="N62" s="8"/>
      <c r="O62" s="9"/>
    </row>
    <row r="63" spans="1:15" ht="12.75">
      <c r="A63" s="182">
        <v>6</v>
      </c>
      <c r="B63" s="187"/>
      <c r="C63" s="184">
        <f t="shared" si="11"/>
      </c>
      <c r="D63" s="184">
        <f t="shared" si="12"/>
      </c>
      <c r="E63" s="186"/>
      <c r="F63" s="172"/>
      <c r="G63" s="174"/>
      <c r="H63" s="174">
        <f t="shared" si="10"/>
      </c>
      <c r="I63" s="172"/>
      <c r="J63" s="181"/>
      <c r="K63" s="158"/>
      <c r="L63" s="10"/>
      <c r="M63" s="8"/>
      <c r="N63" s="8"/>
      <c r="O63" s="9"/>
    </row>
    <row r="64" spans="3:8" ht="12.75">
      <c r="C64" s="8"/>
      <c r="D64" s="8"/>
      <c r="H64" s="55">
        <f>IF(E64="","",IF(E64&gt;J$50,"","ESQ"))</f>
      </c>
    </row>
    <row r="66" spans="1:18" s="14" customFormat="1" ht="12.75">
      <c r="A66" s="14" t="s">
        <v>235</v>
      </c>
      <c r="B66" s="143"/>
      <c r="E66" s="143"/>
      <c r="G66" s="51"/>
      <c r="H66" s="51"/>
      <c r="K66" s="160"/>
      <c r="Q66" s="51"/>
      <c r="R66" s="51"/>
    </row>
    <row r="67" spans="1:10" ht="12.75">
      <c r="A67" t="s">
        <v>32</v>
      </c>
      <c r="J67"/>
    </row>
    <row r="68" spans="1:16" ht="12.75">
      <c r="A68" s="1" t="s">
        <v>0</v>
      </c>
      <c r="B68" s="134" t="s">
        <v>1</v>
      </c>
      <c r="C68" s="3" t="s">
        <v>2</v>
      </c>
      <c r="D68" s="4" t="s">
        <v>3</v>
      </c>
      <c r="E68" s="147" t="s">
        <v>4</v>
      </c>
      <c r="F68" s="16" t="s">
        <v>114</v>
      </c>
      <c r="I68" t="s">
        <v>6</v>
      </c>
      <c r="J68" s="12">
        <v>48.7</v>
      </c>
      <c r="K68" s="158" t="s">
        <v>234</v>
      </c>
      <c r="L68" s="2"/>
      <c r="M68" s="3"/>
      <c r="N68" s="4"/>
      <c r="O68" s="5"/>
      <c r="P68" s="16"/>
    </row>
    <row r="69" spans="1:15" ht="12.75">
      <c r="A69" s="6">
        <v>1</v>
      </c>
      <c r="B69" s="138">
        <v>9</v>
      </c>
      <c r="C69" s="8" t="str">
        <f aca="true" t="shared" si="13" ref="C69:C74">IF(OR($B69=0,$B69=""),"",VLOOKUP($B69,ib400m,2,FALSE))</f>
        <v>Rory Naylor</v>
      </c>
      <c r="D69" s="8" t="str">
        <f aca="true" t="shared" si="14" ref="D69:D74">IF(OR($B69=0,$B69=""),"",VLOOKUP($B69,ib400m,3,FALSE))</f>
        <v>W&amp;M</v>
      </c>
      <c r="E69" s="148">
        <v>54.8</v>
      </c>
      <c r="F69" t="s">
        <v>123</v>
      </c>
      <c r="G69" s="55">
        <f>IF(E69="","",IF(E69&gt;J68,"","CBP"))</f>
      </c>
      <c r="H69" s="55">
        <f aca="true" t="shared" si="15" ref="H69:H82">IF(E69="","",IF(E69&gt;J$69,"","ESQ"))</f>
      </c>
      <c r="I69" t="s">
        <v>26</v>
      </c>
      <c r="J69" s="12">
        <v>51.1</v>
      </c>
      <c r="K69" s="158"/>
      <c r="L69" s="7"/>
      <c r="M69" s="8"/>
      <c r="N69" s="8"/>
      <c r="O69" s="9"/>
    </row>
    <row r="70" spans="1:15" ht="12.75">
      <c r="A70" s="6">
        <v>2</v>
      </c>
      <c r="B70" s="138">
        <v>4</v>
      </c>
      <c r="C70" s="8" t="str">
        <f t="shared" si="13"/>
        <v>R Langdon</v>
      </c>
      <c r="D70" s="8" t="str">
        <f t="shared" si="14"/>
        <v>WB</v>
      </c>
      <c r="E70" s="148">
        <v>55.4</v>
      </c>
      <c r="F70" t="s">
        <v>123</v>
      </c>
      <c r="H70" s="55">
        <f t="shared" si="15"/>
      </c>
      <c r="K70" s="158"/>
      <c r="L70" s="7"/>
      <c r="M70" s="8"/>
      <c r="N70" s="8"/>
      <c r="O70" s="9"/>
    </row>
    <row r="71" spans="1:16" ht="12.75">
      <c r="A71" s="6">
        <v>3</v>
      </c>
      <c r="B71" s="145">
        <v>5</v>
      </c>
      <c r="C71" s="8" t="str">
        <f t="shared" si="13"/>
        <v>Ethan Baines-Gillespie</v>
      </c>
      <c r="D71" s="8" t="str">
        <f t="shared" si="14"/>
        <v>RDG</v>
      </c>
      <c r="E71" s="148">
        <v>55.8</v>
      </c>
      <c r="F71" s="42" t="s">
        <v>123</v>
      </c>
      <c r="H71" s="55">
        <f t="shared" si="15"/>
      </c>
      <c r="K71" s="158"/>
      <c r="L71" s="10"/>
      <c r="M71" s="8"/>
      <c r="N71" s="8"/>
      <c r="O71" s="9"/>
      <c r="P71" s="42"/>
    </row>
    <row r="72" spans="1:15" ht="12.75">
      <c r="A72" s="6">
        <v>4</v>
      </c>
      <c r="B72" s="141"/>
      <c r="C72" s="8">
        <f t="shared" si="13"/>
      </c>
      <c r="D72" s="8">
        <f t="shared" si="14"/>
      </c>
      <c r="E72" s="148"/>
      <c r="F72" s="42"/>
      <c r="H72" s="55">
        <f t="shared" si="15"/>
      </c>
      <c r="K72" s="158"/>
      <c r="L72" s="11"/>
      <c r="M72" s="8"/>
      <c r="N72" s="8"/>
      <c r="O72" s="9"/>
    </row>
    <row r="73" spans="1:15" ht="12.75">
      <c r="A73" s="6">
        <v>5</v>
      </c>
      <c r="B73" s="132"/>
      <c r="C73" s="8">
        <f t="shared" si="13"/>
      </c>
      <c r="D73" s="8">
        <f t="shared" si="14"/>
      </c>
      <c r="E73" s="148"/>
      <c r="H73" s="55">
        <f t="shared" si="15"/>
      </c>
      <c r="K73" s="158"/>
      <c r="L73" s="6"/>
      <c r="M73" s="8"/>
      <c r="N73" s="8"/>
      <c r="O73" s="9"/>
    </row>
    <row r="74" spans="1:15" ht="12.75">
      <c r="A74" s="6">
        <v>6</v>
      </c>
      <c r="B74" s="145"/>
      <c r="C74" s="8">
        <f t="shared" si="13"/>
      </c>
      <c r="D74" s="8">
        <f t="shared" si="14"/>
      </c>
      <c r="E74" s="148"/>
      <c r="H74" s="55">
        <f t="shared" si="15"/>
      </c>
      <c r="K74" s="158"/>
      <c r="L74" s="10"/>
      <c r="M74" s="8"/>
      <c r="N74" s="8"/>
      <c r="O74" s="9"/>
    </row>
    <row r="75" spans="1:15" ht="12.75">
      <c r="A75" t="s">
        <v>33</v>
      </c>
      <c r="H75" s="55">
        <f t="shared" si="15"/>
      </c>
      <c r="K75" s="158"/>
      <c r="L75" s="10"/>
      <c r="M75" s="8"/>
      <c r="N75" s="8"/>
      <c r="O75" s="9"/>
    </row>
    <row r="76" spans="1:15" ht="12.75">
      <c r="A76" s="1" t="s">
        <v>0</v>
      </c>
      <c r="B76" s="134" t="s">
        <v>1</v>
      </c>
      <c r="C76" s="3" t="s">
        <v>2</v>
      </c>
      <c r="D76" s="4" t="s">
        <v>3</v>
      </c>
      <c r="E76" s="147" t="s">
        <v>4</v>
      </c>
      <c r="F76" s="16" t="s">
        <v>114</v>
      </c>
      <c r="H76" s="55">
        <f t="shared" si="15"/>
      </c>
      <c r="K76" s="158"/>
      <c r="L76" s="10"/>
      <c r="M76" s="8"/>
      <c r="N76" s="8"/>
      <c r="O76" s="9"/>
    </row>
    <row r="77" spans="1:15" ht="12.75">
      <c r="A77" s="6">
        <v>1</v>
      </c>
      <c r="B77" s="138" t="s">
        <v>742</v>
      </c>
      <c r="C77" s="8" t="str">
        <f aca="true" t="shared" si="16" ref="C77:C82">IF(OR($B77=0,$B77=""),"",VLOOKUP($B77,ib400m,2,FALSE))</f>
        <v>Harry North</v>
      </c>
      <c r="D77" s="8" t="str">
        <f aca="true" t="shared" si="17" ref="D77:D82">IF(OR($B77=0,$B77=""),"",VLOOKUP($B77,ib400m,3,FALSE))</f>
        <v>RDG</v>
      </c>
      <c r="E77" s="148">
        <v>53.3</v>
      </c>
      <c r="F77" t="s">
        <v>123</v>
      </c>
      <c r="G77" s="55">
        <f>IF(E77="","",IF(E77&gt;J68,"","CBP"))</f>
      </c>
      <c r="H77" s="55">
        <f t="shared" si="15"/>
      </c>
      <c r="K77" s="158"/>
      <c r="L77" s="10"/>
      <c r="M77" s="8"/>
      <c r="N77" s="8"/>
      <c r="O77" s="9"/>
    </row>
    <row r="78" spans="1:15" ht="12.75">
      <c r="A78" s="6">
        <v>2</v>
      </c>
      <c r="B78" s="138">
        <v>8</v>
      </c>
      <c r="C78" s="8" t="str">
        <f t="shared" si="16"/>
        <v>Ridwaan Omar</v>
      </c>
      <c r="D78" s="8" t="str">
        <f t="shared" si="17"/>
        <v>SL</v>
      </c>
      <c r="E78" s="148">
        <v>56</v>
      </c>
      <c r="F78" t="s">
        <v>123</v>
      </c>
      <c r="H78" s="55">
        <f t="shared" si="15"/>
      </c>
      <c r="K78" s="158"/>
      <c r="L78" s="10"/>
      <c r="M78" s="8"/>
      <c r="N78" s="8"/>
      <c r="O78" s="9"/>
    </row>
    <row r="79" spans="1:15" ht="12.75">
      <c r="A79" s="6">
        <v>3</v>
      </c>
      <c r="B79" s="145">
        <v>3</v>
      </c>
      <c r="C79" s="8" t="str">
        <f t="shared" si="16"/>
        <v>T Atkins</v>
      </c>
      <c r="D79" s="8" t="str">
        <f t="shared" si="17"/>
        <v>WB</v>
      </c>
      <c r="E79" s="148">
        <v>56</v>
      </c>
      <c r="F79" s="42" t="s">
        <v>123</v>
      </c>
      <c r="H79" s="55">
        <f t="shared" si="15"/>
      </c>
      <c r="K79" s="158"/>
      <c r="L79" s="10"/>
      <c r="M79" s="8"/>
      <c r="N79" s="8"/>
      <c r="O79" s="9"/>
    </row>
    <row r="80" spans="1:15" ht="12.75">
      <c r="A80" s="6">
        <v>4</v>
      </c>
      <c r="B80" s="141">
        <v>11</v>
      </c>
      <c r="C80" s="8" t="str">
        <f t="shared" si="16"/>
        <v>J Southard</v>
      </c>
      <c r="D80" s="8" t="str">
        <f t="shared" si="17"/>
        <v>WOK</v>
      </c>
      <c r="E80" s="148">
        <v>56.6</v>
      </c>
      <c r="H80" s="55">
        <f t="shared" si="15"/>
      </c>
      <c r="K80" s="158"/>
      <c r="L80" s="10"/>
      <c r="M80" s="8"/>
      <c r="N80" s="8"/>
      <c r="O80" s="9"/>
    </row>
    <row r="81" spans="1:15" ht="12.75">
      <c r="A81" s="6">
        <v>5</v>
      </c>
      <c r="B81" s="132"/>
      <c r="C81" s="8">
        <f t="shared" si="16"/>
      </c>
      <c r="D81" s="8">
        <f t="shared" si="17"/>
      </c>
      <c r="E81" s="148"/>
      <c r="H81" s="55">
        <f t="shared" si="15"/>
      </c>
      <c r="K81" s="158"/>
      <c r="L81" s="10"/>
      <c r="M81" s="8"/>
      <c r="N81" s="8"/>
      <c r="O81" s="9"/>
    </row>
    <row r="82" spans="1:15" ht="12.75">
      <c r="A82" s="6">
        <v>6</v>
      </c>
      <c r="B82" s="145"/>
      <c r="C82" s="8">
        <f t="shared" si="16"/>
      </c>
      <c r="D82" s="8">
        <f t="shared" si="17"/>
      </c>
      <c r="E82" s="148"/>
      <c r="H82" s="55">
        <f t="shared" si="15"/>
      </c>
      <c r="K82" s="158"/>
      <c r="L82" s="10"/>
      <c r="M82" s="8"/>
      <c r="N82" s="8"/>
      <c r="O82" s="9"/>
    </row>
    <row r="84" spans="1:10" ht="12.75">
      <c r="A84" s="14" t="s">
        <v>138</v>
      </c>
      <c r="B84" s="143"/>
      <c r="C84" s="14"/>
      <c r="D84" s="14"/>
      <c r="E84" s="143"/>
      <c r="F84" s="14"/>
      <c r="G84" s="51"/>
      <c r="H84" s="51"/>
      <c r="I84" s="14"/>
      <c r="J84" s="14"/>
    </row>
    <row r="85" ht="12.75">
      <c r="J85"/>
    </row>
    <row r="86" spans="1:11" ht="12.75">
      <c r="A86" s="1" t="s">
        <v>0</v>
      </c>
      <c r="B86" s="134" t="s">
        <v>1</v>
      </c>
      <c r="C86" s="3" t="s">
        <v>2</v>
      </c>
      <c r="D86" s="4" t="s">
        <v>3</v>
      </c>
      <c r="E86" s="147" t="s">
        <v>4</v>
      </c>
      <c r="F86" s="16" t="s">
        <v>24</v>
      </c>
      <c r="I86" t="s">
        <v>6</v>
      </c>
      <c r="J86" s="12">
        <v>10.9</v>
      </c>
      <c r="K86" s="158" t="s">
        <v>342</v>
      </c>
    </row>
    <row r="87" spans="1:10" ht="12.75">
      <c r="A87" s="6">
        <v>1</v>
      </c>
      <c r="B87" s="138">
        <v>1</v>
      </c>
      <c r="C87" s="8" t="str">
        <f aca="true" t="shared" si="18" ref="C87:C94">IF(OR($B87=0,$B87=""),"",VLOOKUP($B87,ib100m,2,FALSE))</f>
        <v>M Tonode</v>
      </c>
      <c r="D87" s="8" t="str">
        <f aca="true" t="shared" si="19" ref="D87:D94">IF(OR($B87=0,$B87=""),"",VLOOKUP($B87,ib100m,3,FALSE))</f>
        <v>BRK</v>
      </c>
      <c r="E87" s="148">
        <v>11.5</v>
      </c>
      <c r="F87">
        <v>6</v>
      </c>
      <c r="G87" s="55">
        <f>IF(E87="","",IF(E87&gt;J86,"","CBP"))</f>
      </c>
      <c r="H87" s="55">
        <f aca="true" t="shared" si="20" ref="H87:H94">IF(E87="","",IF(E87&gt;J$87,"","ESQ"))</f>
      </c>
      <c r="I87" t="s">
        <v>26</v>
      </c>
      <c r="J87" s="12">
        <v>11.2</v>
      </c>
    </row>
    <row r="88" spans="1:8" ht="12.75">
      <c r="A88" s="6">
        <v>2</v>
      </c>
      <c r="B88" s="138">
        <v>11</v>
      </c>
      <c r="C88" s="8" t="str">
        <f t="shared" si="18"/>
        <v>J Johnston</v>
      </c>
      <c r="D88" s="8" t="str">
        <f t="shared" si="19"/>
        <v>WOK</v>
      </c>
      <c r="E88" s="148">
        <v>11.5</v>
      </c>
      <c r="F88">
        <v>5</v>
      </c>
      <c r="H88" s="55">
        <f t="shared" si="20"/>
      </c>
    </row>
    <row r="89" spans="1:8" ht="12.75">
      <c r="A89" s="6">
        <v>3</v>
      </c>
      <c r="B89" s="145">
        <v>4</v>
      </c>
      <c r="C89" s="8" t="str">
        <f t="shared" si="18"/>
        <v>T Campbell</v>
      </c>
      <c r="D89" s="8" t="str">
        <f t="shared" si="19"/>
        <v>WB</v>
      </c>
      <c r="E89" s="148">
        <v>11.7</v>
      </c>
      <c r="F89">
        <v>4</v>
      </c>
      <c r="H89" s="55">
        <f t="shared" si="20"/>
      </c>
    </row>
    <row r="90" spans="1:8" ht="12.75">
      <c r="A90" s="6">
        <v>4</v>
      </c>
      <c r="B90" s="141">
        <v>8</v>
      </c>
      <c r="C90" s="8" t="str">
        <f t="shared" si="18"/>
        <v>Patrick Nwoga</v>
      </c>
      <c r="D90" s="8" t="str">
        <f t="shared" si="19"/>
        <v>SL</v>
      </c>
      <c r="E90" s="148">
        <v>12</v>
      </c>
      <c r="F90">
        <v>3</v>
      </c>
      <c r="H90" s="55">
        <f t="shared" si="20"/>
      </c>
    </row>
    <row r="91" spans="1:8" ht="12.75">
      <c r="A91" s="6">
        <v>5</v>
      </c>
      <c r="B91" s="132">
        <v>5</v>
      </c>
      <c r="C91" s="8" t="str">
        <f t="shared" si="18"/>
        <v>Harry Clarke</v>
      </c>
      <c r="D91" s="8" t="str">
        <f t="shared" si="19"/>
        <v>RDG</v>
      </c>
      <c r="E91" s="148">
        <v>12.1</v>
      </c>
      <c r="F91">
        <v>2</v>
      </c>
      <c r="H91" s="55">
        <f t="shared" si="20"/>
      </c>
    </row>
    <row r="92" spans="1:8" ht="12.75">
      <c r="A92" s="6">
        <v>6</v>
      </c>
      <c r="B92" s="145">
        <v>2</v>
      </c>
      <c r="C92" s="8" t="str">
        <f t="shared" si="18"/>
        <v>M Reyes</v>
      </c>
      <c r="D92" s="8" t="str">
        <f t="shared" si="19"/>
        <v>BRK</v>
      </c>
      <c r="E92" s="148">
        <v>12.2</v>
      </c>
      <c r="F92">
        <v>1</v>
      </c>
      <c r="H92" s="55">
        <f t="shared" si="20"/>
      </c>
    </row>
    <row r="93" spans="1:8" ht="12.75">
      <c r="A93" s="6">
        <v>7</v>
      </c>
      <c r="B93" s="303">
        <v>12</v>
      </c>
      <c r="C93" s="8" t="str">
        <f t="shared" si="18"/>
        <v>L Parfett</v>
      </c>
      <c r="D93" s="8" t="str">
        <f t="shared" si="19"/>
        <v>WOK</v>
      </c>
      <c r="E93" s="303">
        <v>12.4</v>
      </c>
      <c r="H93" s="55">
        <f t="shared" si="20"/>
      </c>
    </row>
    <row r="94" spans="1:10" ht="12.75">
      <c r="A94" s="6">
        <v>8</v>
      </c>
      <c r="B94" s="303"/>
      <c r="C94" s="8">
        <f t="shared" si="18"/>
      </c>
      <c r="D94" s="8">
        <f t="shared" si="19"/>
      </c>
      <c r="E94" s="303"/>
      <c r="F94" s="14"/>
      <c r="G94" s="51"/>
      <c r="H94" s="51">
        <f t="shared" si="20"/>
      </c>
      <c r="I94" s="14"/>
      <c r="J94" s="14"/>
    </row>
    <row r="95" spans="1:10" ht="12.75">
      <c r="A95" s="14" t="s">
        <v>229</v>
      </c>
      <c r="J95"/>
    </row>
    <row r="96" spans="1:11" ht="12.75">
      <c r="A96" s="1" t="s">
        <v>0</v>
      </c>
      <c r="B96" s="134" t="s">
        <v>1</v>
      </c>
      <c r="C96" s="3" t="s">
        <v>2</v>
      </c>
      <c r="D96" s="4" t="s">
        <v>3</v>
      </c>
      <c r="E96" s="147" t="s">
        <v>4</v>
      </c>
      <c r="F96" s="16" t="s">
        <v>24</v>
      </c>
      <c r="I96" t="s">
        <v>6</v>
      </c>
      <c r="J96" s="12">
        <v>13.3</v>
      </c>
      <c r="K96" s="161" t="s">
        <v>230</v>
      </c>
    </row>
    <row r="97" spans="1:10" ht="12.75">
      <c r="A97" s="6">
        <v>1</v>
      </c>
      <c r="B97" s="138">
        <v>11</v>
      </c>
      <c r="C97" s="8" t="str">
        <f aca="true" t="shared" si="21" ref="C97:C102">IF(OR($B97=0,$B97=""),"",VLOOKUP($B97,ib100mh,2,FALSE))</f>
        <v>Josh Zeller</v>
      </c>
      <c r="D97" s="8" t="str">
        <f aca="true" t="shared" si="22" ref="D97:D102">IF(OR($B97=0,$B97=""),"",VLOOKUP($B97,ib100mh,3,FALSE))</f>
        <v>WOK</v>
      </c>
      <c r="E97" s="148">
        <v>13.4</v>
      </c>
      <c r="F97">
        <v>6</v>
      </c>
      <c r="G97" s="55">
        <f>IF(E97="","",IF(E97&gt;J96,"","CBP"))</f>
      </c>
      <c r="H97" s="55" t="str">
        <f aca="true" t="shared" si="23" ref="H97:H102">IF(E97="","",IF(E97&gt;J$97,"","ESQ"))</f>
        <v>ESQ</v>
      </c>
      <c r="I97" t="s">
        <v>26</v>
      </c>
      <c r="J97" s="12">
        <v>14.2</v>
      </c>
    </row>
    <row r="98" spans="1:8" ht="12.75">
      <c r="A98" s="6">
        <v>2</v>
      </c>
      <c r="B98" s="138">
        <v>7</v>
      </c>
      <c r="C98" s="8" t="str">
        <f t="shared" si="21"/>
        <v>Alexander Farquhar</v>
      </c>
      <c r="D98" s="8" t="str">
        <f t="shared" si="22"/>
        <v>SL</v>
      </c>
      <c r="E98" s="148">
        <v>14.1</v>
      </c>
      <c r="F98">
        <v>5</v>
      </c>
      <c r="H98" s="55" t="str">
        <f t="shared" si="23"/>
        <v>ESQ</v>
      </c>
    </row>
    <row r="99" spans="1:8" ht="12.75">
      <c r="A99" s="6">
        <v>3</v>
      </c>
      <c r="B99" s="145">
        <v>3</v>
      </c>
      <c r="C99" s="8" t="str">
        <f t="shared" si="21"/>
        <v>A Sweeting</v>
      </c>
      <c r="D99" s="8" t="str">
        <f t="shared" si="22"/>
        <v>WB</v>
      </c>
      <c r="E99" s="148">
        <v>14.3</v>
      </c>
      <c r="F99">
        <v>4</v>
      </c>
      <c r="H99" s="55">
        <f t="shared" si="23"/>
      </c>
    </row>
    <row r="100" spans="1:8" ht="12.75">
      <c r="A100" s="6">
        <v>4</v>
      </c>
      <c r="B100" s="141">
        <v>12</v>
      </c>
      <c r="C100" s="8" t="str">
        <f t="shared" si="21"/>
        <v>Hugo Bright</v>
      </c>
      <c r="D100" s="8" t="str">
        <f t="shared" si="22"/>
        <v>WOK</v>
      </c>
      <c r="E100" s="148">
        <v>15.1</v>
      </c>
      <c r="F100">
        <v>3</v>
      </c>
      <c r="H100" s="55">
        <f t="shared" si="23"/>
      </c>
    </row>
    <row r="101" spans="1:8" ht="12.75">
      <c r="A101" s="6">
        <v>5</v>
      </c>
      <c r="B101" s="132">
        <v>8</v>
      </c>
      <c r="C101" s="8" t="str">
        <f t="shared" si="21"/>
        <v>Tom Beale</v>
      </c>
      <c r="D101" s="8" t="str">
        <f t="shared" si="22"/>
        <v>SL</v>
      </c>
      <c r="E101" s="148">
        <v>15.5</v>
      </c>
      <c r="F101">
        <v>2</v>
      </c>
      <c r="H101" s="55">
        <f t="shared" si="23"/>
      </c>
    </row>
    <row r="102" spans="1:8" ht="12.75">
      <c r="A102" s="6">
        <v>6</v>
      </c>
      <c r="B102" s="145">
        <v>4</v>
      </c>
      <c r="C102" s="8" t="str">
        <f t="shared" si="21"/>
        <v>A Swain</v>
      </c>
      <c r="D102" s="8" t="str">
        <f t="shared" si="22"/>
        <v>WB</v>
      </c>
      <c r="E102" s="148">
        <v>16.3</v>
      </c>
      <c r="F102">
        <v>1</v>
      </c>
      <c r="H102" s="55">
        <f t="shared" si="23"/>
      </c>
    </row>
    <row r="104" spans="1:18" s="14" customFormat="1" ht="12.75">
      <c r="A104" s="14" t="s">
        <v>248</v>
      </c>
      <c r="B104" s="143"/>
      <c r="E104" s="143"/>
      <c r="G104" s="51"/>
      <c r="H104" s="51"/>
      <c r="K104" s="160"/>
      <c r="Q104" s="51"/>
      <c r="R104" s="51"/>
    </row>
    <row r="105" spans="1:10" ht="12.75">
      <c r="A105" t="s">
        <v>32</v>
      </c>
      <c r="J105"/>
    </row>
    <row r="106" spans="1:16" ht="12.75">
      <c r="A106" s="1" t="s">
        <v>0</v>
      </c>
      <c r="B106" s="134" t="s">
        <v>1</v>
      </c>
      <c r="C106" s="3" t="s">
        <v>2</v>
      </c>
      <c r="D106" s="4" t="s">
        <v>3</v>
      </c>
      <c r="E106" s="147" t="s">
        <v>4</v>
      </c>
      <c r="F106" s="16" t="s">
        <v>114</v>
      </c>
      <c r="I106" t="s">
        <v>6</v>
      </c>
      <c r="J106" s="12">
        <v>22.4</v>
      </c>
      <c r="K106" s="158" t="s">
        <v>247</v>
      </c>
      <c r="L106" s="2"/>
      <c r="M106" s="3"/>
      <c r="N106" s="4"/>
      <c r="O106" s="5"/>
      <c r="P106" s="16"/>
    </row>
    <row r="107" spans="1:15" ht="12.75">
      <c r="A107" s="6">
        <v>1</v>
      </c>
      <c r="B107" s="138">
        <v>7</v>
      </c>
      <c r="C107" s="8" t="str">
        <f aca="true" t="shared" si="24" ref="C107:C112">IF(OR($B107=0,$B107=""),"",VLOOKUP($B107,ib200m,2,FALSE))</f>
        <v>Orlando Bell</v>
      </c>
      <c r="D107" s="8" t="str">
        <f aca="true" t="shared" si="25" ref="D107:D112">IF(OR($B107=0,$B107=""),"",VLOOKUP($B107,ib200m,3,FALSE))</f>
        <v>SL</v>
      </c>
      <c r="E107" s="148">
        <v>24.3</v>
      </c>
      <c r="F107" t="s">
        <v>123</v>
      </c>
      <c r="G107" s="55">
        <f>IF(E107="","",IF(E107&gt;J106,"","CBP"))</f>
      </c>
      <c r="H107" s="55">
        <f aca="true" t="shared" si="26" ref="H107:H120">IF(E107="","",IF(E107&gt;J$107,"","ESQ"))</f>
      </c>
      <c r="I107" t="s">
        <v>26</v>
      </c>
      <c r="J107" s="12">
        <v>22.8</v>
      </c>
      <c r="K107" s="158"/>
      <c r="L107" s="7"/>
      <c r="M107" s="8"/>
      <c r="N107" s="8"/>
      <c r="O107" s="9"/>
    </row>
    <row r="108" spans="1:15" ht="12.75">
      <c r="A108" s="6">
        <v>2</v>
      </c>
      <c r="B108" s="138">
        <v>6</v>
      </c>
      <c r="C108" s="8" t="str">
        <f t="shared" si="24"/>
        <v>M Henry</v>
      </c>
      <c r="D108" s="8" t="str">
        <f t="shared" si="25"/>
        <v>RDG</v>
      </c>
      <c r="E108" s="148">
        <v>24.4</v>
      </c>
      <c r="F108" t="s">
        <v>123</v>
      </c>
      <c r="H108" s="55">
        <f t="shared" si="26"/>
      </c>
      <c r="K108" s="158"/>
      <c r="L108" s="7"/>
      <c r="M108" s="8"/>
      <c r="N108" s="8"/>
      <c r="O108" s="9"/>
    </row>
    <row r="109" spans="1:15" ht="12.75">
      <c r="A109" s="6">
        <v>3</v>
      </c>
      <c r="B109" s="138">
        <v>4</v>
      </c>
      <c r="C109" s="8" t="str">
        <f t="shared" si="24"/>
        <v>L Parry</v>
      </c>
      <c r="D109" s="8" t="str">
        <f t="shared" si="25"/>
        <v>WB</v>
      </c>
      <c r="E109" s="148">
        <v>24.6</v>
      </c>
      <c r="F109" s="42" t="s">
        <v>123</v>
      </c>
      <c r="H109" s="55">
        <f t="shared" si="26"/>
      </c>
      <c r="K109" s="158"/>
      <c r="L109" s="10"/>
      <c r="M109" s="8"/>
      <c r="N109" s="8"/>
      <c r="O109" s="9"/>
    </row>
    <row r="110" spans="1:15" ht="12.75">
      <c r="A110" s="6">
        <v>4</v>
      </c>
      <c r="B110" s="138">
        <v>3</v>
      </c>
      <c r="C110" s="8" t="str">
        <f t="shared" si="24"/>
        <v>C Watson</v>
      </c>
      <c r="D110" s="8" t="str">
        <f t="shared" si="25"/>
        <v>WB</v>
      </c>
      <c r="E110" s="148">
        <v>26.4</v>
      </c>
      <c r="H110" s="55">
        <f t="shared" si="26"/>
      </c>
      <c r="K110" s="158"/>
      <c r="L110" s="11"/>
      <c r="M110" s="8"/>
      <c r="N110" s="8"/>
      <c r="O110" s="9"/>
    </row>
    <row r="111" spans="1:15" ht="12.75">
      <c r="A111" s="6">
        <v>5</v>
      </c>
      <c r="B111" s="138"/>
      <c r="C111" s="8">
        <f t="shared" si="24"/>
      </c>
      <c r="D111" s="8">
        <f t="shared" si="25"/>
      </c>
      <c r="E111" s="148"/>
      <c r="H111" s="55">
        <f t="shared" si="26"/>
      </c>
      <c r="K111" s="158"/>
      <c r="L111" s="6"/>
      <c r="M111" s="8"/>
      <c r="N111" s="8"/>
      <c r="O111" s="9"/>
    </row>
    <row r="112" spans="1:15" ht="12.75">
      <c r="A112" s="6">
        <v>6</v>
      </c>
      <c r="B112" s="145"/>
      <c r="C112" s="8">
        <f t="shared" si="24"/>
      </c>
      <c r="D112" s="8">
        <f t="shared" si="25"/>
      </c>
      <c r="E112" s="148"/>
      <c r="H112" s="55">
        <f t="shared" si="26"/>
      </c>
      <c r="K112" s="158"/>
      <c r="L112" s="10"/>
      <c r="M112" s="8"/>
      <c r="N112" s="8"/>
      <c r="O112" s="9"/>
    </row>
    <row r="113" spans="1:15" ht="12.75">
      <c r="A113" t="s">
        <v>33</v>
      </c>
      <c r="H113" s="55">
        <f t="shared" si="26"/>
      </c>
      <c r="K113" s="158"/>
      <c r="L113" s="10"/>
      <c r="M113" s="8"/>
      <c r="N113" s="8"/>
      <c r="O113" s="9"/>
    </row>
    <row r="114" spans="1:15" ht="12.75">
      <c r="A114" s="1" t="s">
        <v>0</v>
      </c>
      <c r="B114" s="134" t="s">
        <v>1</v>
      </c>
      <c r="C114" s="3" t="s">
        <v>2</v>
      </c>
      <c r="D114" s="4" t="s">
        <v>3</v>
      </c>
      <c r="E114" s="147" t="s">
        <v>4</v>
      </c>
      <c r="F114" s="16" t="s">
        <v>114</v>
      </c>
      <c r="H114" s="55">
        <f t="shared" si="26"/>
      </c>
      <c r="K114" s="158"/>
      <c r="L114" s="10"/>
      <c r="M114" s="8"/>
      <c r="N114" s="8"/>
      <c r="O114" s="9"/>
    </row>
    <row r="115" spans="1:15" ht="12.75">
      <c r="A115" s="6">
        <v>1</v>
      </c>
      <c r="B115" s="138">
        <v>11</v>
      </c>
      <c r="C115" s="8" t="str">
        <f aca="true" t="shared" si="27" ref="C115:C120">IF(OR($B115=0,$B115=""),"",VLOOKUP($B115,ib200m,2,FALSE))</f>
        <v>Matthew Buckner</v>
      </c>
      <c r="D115" s="8" t="str">
        <f aca="true" t="shared" si="28" ref="D115:D120">IF(OR($B115=0,$B115=""),"",VLOOKUP($B115,ib200m,3,FALSE))</f>
        <v>WOK</v>
      </c>
      <c r="E115" s="148">
        <v>24</v>
      </c>
      <c r="F115" t="s">
        <v>123</v>
      </c>
      <c r="G115" s="55">
        <f>IF(E115="","",IF(E115&gt;J106,"","CBP"))</f>
      </c>
      <c r="H115" s="55">
        <f t="shared" si="26"/>
      </c>
      <c r="K115" s="158"/>
      <c r="L115" s="10"/>
      <c r="M115" s="8"/>
      <c r="N115" s="8"/>
      <c r="O115" s="9"/>
    </row>
    <row r="116" spans="1:15" ht="12.75">
      <c r="A116" s="6">
        <v>2</v>
      </c>
      <c r="B116" s="138">
        <v>12</v>
      </c>
      <c r="C116" s="8" t="str">
        <f t="shared" si="27"/>
        <v>J Millar</v>
      </c>
      <c r="D116" s="8" t="str">
        <f t="shared" si="28"/>
        <v>WOK</v>
      </c>
      <c r="E116" s="148">
        <v>24.1</v>
      </c>
      <c r="F116" t="s">
        <v>123</v>
      </c>
      <c r="H116" s="55">
        <f t="shared" si="26"/>
      </c>
      <c r="K116" s="158"/>
      <c r="L116" s="10"/>
      <c r="M116" s="8"/>
      <c r="N116" s="8"/>
      <c r="O116" s="9"/>
    </row>
    <row r="117" spans="1:15" ht="12.75">
      <c r="A117" s="6">
        <v>3</v>
      </c>
      <c r="B117" s="138">
        <v>2</v>
      </c>
      <c r="C117" s="8" t="str">
        <f t="shared" si="27"/>
        <v>H Ray</v>
      </c>
      <c r="D117" s="8" t="str">
        <f t="shared" si="28"/>
        <v>BRK</v>
      </c>
      <c r="E117" s="148">
        <v>26</v>
      </c>
      <c r="F117" s="42" t="s">
        <v>123</v>
      </c>
      <c r="H117" s="55">
        <f t="shared" si="26"/>
      </c>
      <c r="K117" s="158"/>
      <c r="L117" s="10"/>
      <c r="M117" s="8"/>
      <c r="N117" s="8"/>
      <c r="O117" s="9"/>
    </row>
    <row r="118" spans="1:15" ht="12.75">
      <c r="A118" s="6">
        <v>4</v>
      </c>
      <c r="B118" s="138"/>
      <c r="C118" s="8">
        <f t="shared" si="27"/>
      </c>
      <c r="D118" s="8">
        <f t="shared" si="28"/>
      </c>
      <c r="E118" s="148"/>
      <c r="H118" s="55">
        <f t="shared" si="26"/>
      </c>
      <c r="K118" s="158"/>
      <c r="L118" s="10"/>
      <c r="M118" s="8"/>
      <c r="N118" s="8"/>
      <c r="O118" s="9"/>
    </row>
    <row r="119" spans="1:15" ht="12.75">
      <c r="A119" s="6">
        <v>5</v>
      </c>
      <c r="B119" s="132"/>
      <c r="C119" s="8">
        <f t="shared" si="27"/>
      </c>
      <c r="D119" s="8">
        <f t="shared" si="28"/>
      </c>
      <c r="E119" s="148"/>
      <c r="H119" s="55">
        <f t="shared" si="26"/>
      </c>
      <c r="K119" s="158"/>
      <c r="L119" s="10"/>
      <c r="M119" s="8"/>
      <c r="N119" s="8"/>
      <c r="O119" s="9"/>
    </row>
    <row r="120" spans="1:15" ht="12.75">
      <c r="A120" s="6">
        <v>6</v>
      </c>
      <c r="B120" s="145"/>
      <c r="C120" s="8">
        <f t="shared" si="27"/>
      </c>
      <c r="D120" s="8">
        <f t="shared" si="28"/>
      </c>
      <c r="E120" s="148"/>
      <c r="H120" s="55">
        <f t="shared" si="26"/>
      </c>
      <c r="K120" s="158"/>
      <c r="L120" s="10"/>
      <c r="M120" s="8"/>
      <c r="N120" s="8"/>
      <c r="O120" s="9"/>
    </row>
    <row r="122" spans="1:10" ht="12.75">
      <c r="A122" s="14" t="s">
        <v>252</v>
      </c>
      <c r="B122" s="143"/>
      <c r="C122" s="14"/>
      <c r="D122" s="14"/>
      <c r="E122" s="143"/>
      <c r="F122" s="14"/>
      <c r="G122" s="51"/>
      <c r="H122" s="51"/>
      <c r="I122" s="14"/>
      <c r="J122" s="14"/>
    </row>
    <row r="123" ht="12.75">
      <c r="J123"/>
    </row>
    <row r="124" spans="1:11" ht="12.75">
      <c r="A124" s="1" t="s">
        <v>0</v>
      </c>
      <c r="B124" s="134" t="s">
        <v>1</v>
      </c>
      <c r="C124" s="3" t="s">
        <v>2</v>
      </c>
      <c r="D124" s="4" t="s">
        <v>3</v>
      </c>
      <c r="E124" s="147" t="s">
        <v>4</v>
      </c>
      <c r="F124" s="16" t="s">
        <v>24</v>
      </c>
      <c r="I124" t="s">
        <v>6</v>
      </c>
      <c r="J124" s="12">
        <v>48.7</v>
      </c>
      <c r="K124" s="158" t="s">
        <v>234</v>
      </c>
    </row>
    <row r="125" spans="1:10" ht="12.75">
      <c r="A125" s="6">
        <v>1</v>
      </c>
      <c r="B125" s="138" t="s">
        <v>742</v>
      </c>
      <c r="C125" s="8" t="str">
        <f aca="true" t="shared" si="29" ref="C125:C130">IF(OR($B125=0,$B125=""),"",VLOOKUP($B125,ib400m,2,FALSE))</f>
        <v>Harry North</v>
      </c>
      <c r="D125" s="8" t="str">
        <f aca="true" t="shared" si="30" ref="D125:D130">IF(OR($B125=0,$B125=""),"",VLOOKUP($B125,ib400m,3,FALSE))</f>
        <v>RDG</v>
      </c>
      <c r="E125" s="148">
        <v>53.6</v>
      </c>
      <c r="F125">
        <v>6</v>
      </c>
      <c r="G125" s="55">
        <f>IF(E125="","",IF(E125&gt;J124,"","CBP"))</f>
      </c>
      <c r="H125" s="55">
        <f aca="true" t="shared" si="31" ref="H125:H130">IF(E125="","",IF(E125&gt;J$125,"","ESQ"))</f>
      </c>
      <c r="I125" t="s">
        <v>26</v>
      </c>
      <c r="J125" s="12">
        <v>51.1</v>
      </c>
    </row>
    <row r="126" spans="1:8" ht="12.75">
      <c r="A126" s="6">
        <v>2</v>
      </c>
      <c r="B126" s="138">
        <v>9</v>
      </c>
      <c r="C126" s="8" t="str">
        <f t="shared" si="29"/>
        <v>Rory Naylor</v>
      </c>
      <c r="D126" s="8" t="str">
        <f t="shared" si="30"/>
        <v>W&amp;M</v>
      </c>
      <c r="E126" s="148">
        <v>54.7</v>
      </c>
      <c r="F126">
        <v>5</v>
      </c>
      <c r="H126" s="55">
        <f t="shared" si="31"/>
      </c>
    </row>
    <row r="127" spans="1:8" ht="12.75">
      <c r="A127" s="6">
        <v>3</v>
      </c>
      <c r="B127" s="145">
        <v>8</v>
      </c>
      <c r="C127" s="8" t="str">
        <f t="shared" si="29"/>
        <v>Ridwaan Omar</v>
      </c>
      <c r="D127" s="8" t="str">
        <f t="shared" si="30"/>
        <v>SL</v>
      </c>
      <c r="E127" s="148">
        <v>54.8</v>
      </c>
      <c r="F127">
        <v>4</v>
      </c>
      <c r="H127" s="55">
        <f t="shared" si="31"/>
      </c>
    </row>
    <row r="128" spans="1:8" ht="12.75">
      <c r="A128" s="6">
        <v>4</v>
      </c>
      <c r="B128" s="141">
        <v>3</v>
      </c>
      <c r="C128" s="8" t="str">
        <f t="shared" si="29"/>
        <v>T Atkins</v>
      </c>
      <c r="D128" s="8" t="str">
        <f t="shared" si="30"/>
        <v>WB</v>
      </c>
      <c r="E128" s="148">
        <v>55.2</v>
      </c>
      <c r="F128">
        <v>3</v>
      </c>
      <c r="H128" s="55">
        <f t="shared" si="31"/>
      </c>
    </row>
    <row r="129" spans="1:8" ht="12.75">
      <c r="A129" s="6">
        <v>5</v>
      </c>
      <c r="B129" s="132">
        <v>5</v>
      </c>
      <c r="C129" s="8" t="str">
        <f t="shared" si="29"/>
        <v>Ethan Baines-Gillespie</v>
      </c>
      <c r="D129" s="8" t="str">
        <f t="shared" si="30"/>
        <v>RDG</v>
      </c>
      <c r="E129" s="148">
        <v>56.1</v>
      </c>
      <c r="F129">
        <v>2</v>
      </c>
      <c r="H129" s="55">
        <f t="shared" si="31"/>
      </c>
    </row>
    <row r="130" spans="1:8" ht="12.75">
      <c r="A130" s="6">
        <v>6</v>
      </c>
      <c r="B130" s="145"/>
      <c r="C130" s="8">
        <f t="shared" si="29"/>
      </c>
      <c r="D130" s="8">
        <f t="shared" si="30"/>
      </c>
      <c r="E130" s="148"/>
      <c r="F130">
        <v>1</v>
      </c>
      <c r="H130" s="55">
        <f t="shared" si="31"/>
      </c>
    </row>
    <row r="132" spans="1:10" ht="12.75">
      <c r="A132" s="14" t="s">
        <v>256</v>
      </c>
      <c r="B132" s="143"/>
      <c r="C132" s="14"/>
      <c r="D132" s="14"/>
      <c r="E132" s="143"/>
      <c r="F132" s="14"/>
      <c r="G132" s="51"/>
      <c r="H132" s="51"/>
      <c r="I132" s="14"/>
      <c r="J132" s="14"/>
    </row>
    <row r="133" ht="12.75">
      <c r="J133"/>
    </row>
    <row r="134" spans="1:11" ht="12.75">
      <c r="A134" s="1" t="s">
        <v>0</v>
      </c>
      <c r="B134" s="134" t="s">
        <v>1</v>
      </c>
      <c r="C134" s="3" t="s">
        <v>2</v>
      </c>
      <c r="D134" s="4" t="s">
        <v>3</v>
      </c>
      <c r="E134" s="147" t="s">
        <v>4</v>
      </c>
      <c r="F134" s="16" t="s">
        <v>24</v>
      </c>
      <c r="I134" t="s">
        <v>6</v>
      </c>
      <c r="J134" s="49">
        <v>0.002829861111111111</v>
      </c>
      <c r="K134" s="161" t="s">
        <v>257</v>
      </c>
    </row>
    <row r="135" spans="1:10" ht="12.75">
      <c r="A135" s="6">
        <v>1</v>
      </c>
      <c r="B135" s="138">
        <v>9</v>
      </c>
      <c r="C135" s="8" t="str">
        <f aca="true" t="shared" si="32" ref="C135:C146">IF(OR($B135=0,$B135=""),"",VLOOKUP($B135,ib1500m,2,FALSE))</f>
        <v>Joel Lange</v>
      </c>
      <c r="D135" s="8" t="str">
        <f aca="true" t="shared" si="33" ref="D135:D146">IF(OR($B135=0,$B135=""),"",VLOOKUP($B135,ib1500m,3,FALSE))</f>
        <v>W&amp;M</v>
      </c>
      <c r="E135" s="149">
        <v>0.003054398148148148</v>
      </c>
      <c r="F135">
        <v>6</v>
      </c>
      <c r="G135" s="55">
        <f>IF(E135="","",IF(E135&gt;J134,"","CBP"))</f>
      </c>
      <c r="H135" s="55">
        <f aca="true" t="shared" si="34" ref="H135:H143">IF(E135="","",IF(E135&gt;J$135,"","ESQ"))</f>
      </c>
      <c r="I135" t="s">
        <v>26</v>
      </c>
      <c r="J135" s="49">
        <v>0.002870370370370371</v>
      </c>
    </row>
    <row r="136" spans="1:8" ht="12.75">
      <c r="A136" s="6">
        <v>2</v>
      </c>
      <c r="B136" s="138">
        <v>3</v>
      </c>
      <c r="C136" s="8" t="str">
        <f t="shared" si="32"/>
        <v>J McLaughlin</v>
      </c>
      <c r="D136" s="8" t="str">
        <f t="shared" si="33"/>
        <v>WB</v>
      </c>
      <c r="E136" s="149">
        <v>0.003064814814814815</v>
      </c>
      <c r="F136">
        <v>5</v>
      </c>
      <c r="H136" s="55">
        <f t="shared" si="34"/>
      </c>
    </row>
    <row r="137" spans="1:8" ht="12.75">
      <c r="A137" s="6">
        <v>3</v>
      </c>
      <c r="B137" s="145">
        <v>12</v>
      </c>
      <c r="C137" s="8" t="str">
        <f t="shared" si="32"/>
        <v>H Middleton</v>
      </c>
      <c r="D137" s="8" t="str">
        <f t="shared" si="33"/>
        <v>WOK</v>
      </c>
      <c r="E137" s="149">
        <v>0.0031388888888888885</v>
      </c>
      <c r="F137">
        <v>4</v>
      </c>
      <c r="H137" s="55">
        <f t="shared" si="34"/>
      </c>
    </row>
    <row r="138" spans="1:8" ht="12.75">
      <c r="A138" s="6">
        <v>4</v>
      </c>
      <c r="B138" s="141">
        <v>1</v>
      </c>
      <c r="C138" s="8" t="str">
        <f t="shared" si="32"/>
        <v>Max Borgnis</v>
      </c>
      <c r="D138" s="8" t="str">
        <f t="shared" si="33"/>
        <v>BRK</v>
      </c>
      <c r="E138" s="149">
        <v>0.0031562499999999998</v>
      </c>
      <c r="F138">
        <v>3</v>
      </c>
      <c r="H138" s="55">
        <f t="shared" si="34"/>
      </c>
    </row>
    <row r="139" spans="1:8" ht="12.75">
      <c r="A139" s="6">
        <v>5</v>
      </c>
      <c r="B139" s="132">
        <v>7</v>
      </c>
      <c r="C139" s="8" t="str">
        <f t="shared" si="32"/>
        <v>Edouard Long</v>
      </c>
      <c r="D139" s="8" t="str">
        <f t="shared" si="33"/>
        <v>SL</v>
      </c>
      <c r="E139" s="149">
        <v>0.003166666666666667</v>
      </c>
      <c r="F139">
        <v>2</v>
      </c>
      <c r="H139" s="55">
        <f t="shared" si="34"/>
      </c>
    </row>
    <row r="140" spans="1:8" ht="12.75">
      <c r="A140" s="6">
        <v>6</v>
      </c>
      <c r="B140" s="145">
        <v>10</v>
      </c>
      <c r="C140" s="8" t="str">
        <f t="shared" si="32"/>
        <v>Adam Gambrill</v>
      </c>
      <c r="D140" s="8" t="str">
        <f t="shared" si="33"/>
        <v>W&amp;M</v>
      </c>
      <c r="E140" s="149">
        <v>0.003194444444444444</v>
      </c>
      <c r="F140">
        <v>1</v>
      </c>
      <c r="H140" s="55">
        <f t="shared" si="34"/>
      </c>
    </row>
    <row r="141" spans="1:10" ht="12.75">
      <c r="A141" s="6">
        <v>7</v>
      </c>
      <c r="B141" s="146">
        <v>8</v>
      </c>
      <c r="C141" s="8" t="str">
        <f t="shared" si="32"/>
        <v>Zac Baylis</v>
      </c>
      <c r="D141" s="8" t="str">
        <f t="shared" si="33"/>
        <v>SL</v>
      </c>
      <c r="E141" s="149">
        <v>0.003238425925925926</v>
      </c>
      <c r="H141" s="55">
        <f t="shared" si="34"/>
      </c>
      <c r="J141"/>
    </row>
    <row r="142" spans="1:10" ht="12.75">
      <c r="A142" s="6">
        <v>8</v>
      </c>
      <c r="B142" s="146">
        <v>2</v>
      </c>
      <c r="C142" s="8" t="str">
        <f t="shared" si="32"/>
        <v>L Williams</v>
      </c>
      <c r="D142" s="8" t="str">
        <f t="shared" si="33"/>
        <v>BRK</v>
      </c>
      <c r="E142" s="149">
        <v>0.003351851851851852</v>
      </c>
      <c r="H142" s="55">
        <f t="shared" si="34"/>
      </c>
      <c r="J142"/>
    </row>
    <row r="143" spans="1:10" ht="12.75">
      <c r="A143" s="6">
        <v>9</v>
      </c>
      <c r="B143" s="301">
        <v>11</v>
      </c>
      <c r="C143" s="8" t="str">
        <f t="shared" si="32"/>
        <v>Ben Rollings</v>
      </c>
      <c r="D143" s="8" t="str">
        <f t="shared" si="33"/>
        <v>WOK</v>
      </c>
      <c r="E143" s="311">
        <v>0.003483796296296296</v>
      </c>
      <c r="H143" s="55">
        <f t="shared" si="34"/>
      </c>
      <c r="J143"/>
    </row>
    <row r="144" spans="1:10" ht="12.75">
      <c r="A144" s="6">
        <v>10</v>
      </c>
      <c r="C144" s="8">
        <f t="shared" si="32"/>
      </c>
      <c r="D144" s="8">
        <f t="shared" si="33"/>
      </c>
      <c r="E144" s="150"/>
      <c r="J144"/>
    </row>
    <row r="145" spans="1:10" ht="12.75">
      <c r="A145" s="6">
        <v>11</v>
      </c>
      <c r="C145" s="8">
        <f t="shared" si="32"/>
      </c>
      <c r="D145" s="8">
        <f t="shared" si="33"/>
      </c>
      <c r="E145" s="150"/>
      <c r="J145"/>
    </row>
    <row r="146" spans="1:10" ht="12.75">
      <c r="A146" s="6">
        <v>12</v>
      </c>
      <c r="C146" s="8">
        <f t="shared" si="32"/>
      </c>
      <c r="D146" s="8">
        <f t="shared" si="33"/>
      </c>
      <c r="E146" s="150"/>
      <c r="J146"/>
    </row>
    <row r="148" spans="1:10" ht="12.75">
      <c r="A148" s="14" t="s">
        <v>265</v>
      </c>
      <c r="B148" s="143"/>
      <c r="C148" s="14"/>
      <c r="D148" s="14"/>
      <c r="E148" s="143"/>
      <c r="F148" s="14"/>
      <c r="G148" s="51"/>
      <c r="H148" s="51"/>
      <c r="I148" s="14"/>
      <c r="J148" s="14"/>
    </row>
    <row r="149" ht="12.75">
      <c r="J149"/>
    </row>
    <row r="150" spans="1:11" ht="12.75">
      <c r="A150" s="1" t="s">
        <v>0</v>
      </c>
      <c r="B150" s="134" t="s">
        <v>1</v>
      </c>
      <c r="C150" s="3" t="s">
        <v>2</v>
      </c>
      <c r="D150" s="4" t="s">
        <v>3</v>
      </c>
      <c r="E150" s="147" t="s">
        <v>4</v>
      </c>
      <c r="F150" s="16" t="s">
        <v>24</v>
      </c>
      <c r="I150" t="s">
        <v>6</v>
      </c>
      <c r="J150" s="12">
        <v>22.4</v>
      </c>
      <c r="K150" s="158" t="s">
        <v>247</v>
      </c>
    </row>
    <row r="151" spans="1:10" ht="12.75">
      <c r="A151" s="6">
        <v>1</v>
      </c>
      <c r="B151" s="138">
        <v>11</v>
      </c>
      <c r="C151" s="8" t="str">
        <f aca="true" t="shared" si="35" ref="C151:C156">IF(OR($B151=0,$B151=""),"",VLOOKUP($B151,ib200m,2,FALSE))</f>
        <v>Matthew Buckner</v>
      </c>
      <c r="D151" s="8" t="str">
        <f aca="true" t="shared" si="36" ref="D151:D157">IF(OR($B151=0,$B151=""),"",VLOOKUP($B151,ib200m,3,FALSE))</f>
        <v>WOK</v>
      </c>
      <c r="E151" s="148">
        <v>23.2</v>
      </c>
      <c r="F151">
        <v>6</v>
      </c>
      <c r="G151" s="55">
        <f>IF(E151="","",IF(E151&gt;J150,"","CBP"))</f>
      </c>
      <c r="H151" s="55">
        <f aca="true" t="shared" si="37" ref="H151:H156">IF(E151="","",IF(E151&gt;J$151,"","ESQ"))</f>
      </c>
      <c r="I151" t="s">
        <v>26</v>
      </c>
      <c r="J151" s="12">
        <v>22.8</v>
      </c>
    </row>
    <row r="152" spans="1:8" ht="12.75">
      <c r="A152" s="6">
        <v>2</v>
      </c>
      <c r="B152" s="138">
        <v>12</v>
      </c>
      <c r="C152" s="8" t="str">
        <f t="shared" si="35"/>
        <v>J Millar</v>
      </c>
      <c r="D152" s="8" t="str">
        <f t="shared" si="36"/>
        <v>WOK</v>
      </c>
      <c r="E152" s="148">
        <v>24.1</v>
      </c>
      <c r="F152">
        <v>5</v>
      </c>
      <c r="H152" s="55">
        <f t="shared" si="37"/>
      </c>
    </row>
    <row r="153" spans="1:8" ht="12.75">
      <c r="A153" s="6">
        <v>3</v>
      </c>
      <c r="B153" s="145">
        <v>6</v>
      </c>
      <c r="C153" s="8" t="str">
        <f t="shared" si="35"/>
        <v>M Henry</v>
      </c>
      <c r="D153" s="8" t="str">
        <f t="shared" si="36"/>
        <v>RDG</v>
      </c>
      <c r="E153" s="148">
        <v>24.7</v>
      </c>
      <c r="F153">
        <v>4</v>
      </c>
      <c r="H153" s="55">
        <f t="shared" si="37"/>
      </c>
    </row>
    <row r="154" spans="1:8" ht="12.75">
      <c r="A154" s="6">
        <v>4</v>
      </c>
      <c r="B154" s="141">
        <v>7</v>
      </c>
      <c r="C154" s="8" t="str">
        <f t="shared" si="35"/>
        <v>Orlando Bell</v>
      </c>
      <c r="D154" s="8" t="str">
        <f t="shared" si="36"/>
        <v>SL</v>
      </c>
      <c r="E154" s="148">
        <v>24.7</v>
      </c>
      <c r="F154">
        <v>3</v>
      </c>
      <c r="H154" s="55">
        <f t="shared" si="37"/>
      </c>
    </row>
    <row r="155" spans="1:8" ht="12.75">
      <c r="A155" s="6">
        <v>5</v>
      </c>
      <c r="B155" s="132">
        <v>4</v>
      </c>
      <c r="C155" s="8" t="str">
        <f t="shared" si="35"/>
        <v>L Parry</v>
      </c>
      <c r="D155" s="8" t="str">
        <f t="shared" si="36"/>
        <v>WB</v>
      </c>
      <c r="E155" s="148">
        <v>25.9</v>
      </c>
      <c r="F155">
        <v>2</v>
      </c>
      <c r="H155" s="55">
        <f t="shared" si="37"/>
      </c>
    </row>
    <row r="156" spans="1:8" ht="12.75">
      <c r="A156" s="6">
        <v>6</v>
      </c>
      <c r="B156" s="145"/>
      <c r="C156" s="8">
        <f t="shared" si="35"/>
      </c>
      <c r="D156" s="8">
        <f t="shared" si="36"/>
      </c>
      <c r="E156" s="148"/>
      <c r="F156">
        <v>1</v>
      </c>
      <c r="H156" s="55">
        <f t="shared" si="37"/>
      </c>
    </row>
    <row r="157" ht="12.75">
      <c r="D157" s="8">
        <f t="shared" si="36"/>
      </c>
    </row>
    <row r="158" spans="1:10" ht="12.75">
      <c r="A158" s="14" t="s">
        <v>260</v>
      </c>
      <c r="B158" s="143"/>
      <c r="C158" s="14"/>
      <c r="D158" s="14"/>
      <c r="E158" s="143"/>
      <c r="F158" s="14"/>
      <c r="G158" s="51"/>
      <c r="H158" s="51"/>
      <c r="I158" s="14"/>
      <c r="J158" s="14"/>
    </row>
    <row r="159" ht="12.75">
      <c r="J159"/>
    </row>
    <row r="160" spans="1:11" ht="12.75">
      <c r="A160" s="1" t="s">
        <v>0</v>
      </c>
      <c r="B160" s="134" t="s">
        <v>1</v>
      </c>
      <c r="C160" s="3" t="s">
        <v>2</v>
      </c>
      <c r="D160" s="4" t="s">
        <v>3</v>
      </c>
      <c r="E160" s="147" t="s">
        <v>4</v>
      </c>
      <c r="F160" s="16" t="s">
        <v>24</v>
      </c>
      <c r="I160" t="s">
        <v>6</v>
      </c>
      <c r="J160" s="49">
        <v>0.0029803240740740745</v>
      </c>
      <c r="K160" s="161" t="s">
        <v>327</v>
      </c>
    </row>
    <row r="161" spans="1:10" ht="12.75">
      <c r="A161" s="6">
        <v>1</v>
      </c>
      <c r="B161" s="138">
        <v>5</v>
      </c>
      <c r="C161" s="8" t="str">
        <f aca="true" t="shared" si="38" ref="C161:C166">IF(OR($B161=0,$B161=""),"",VLOOKUP($B161,ib1500msc,2,FALSE))</f>
        <v>Max Cooper</v>
      </c>
      <c r="D161" s="8" t="str">
        <f aca="true" t="shared" si="39" ref="D161:D166">IF(OR($B161=0,$B161=""),"",VLOOKUP($B161,ib1500msc,3,FALSE))</f>
        <v>RDG</v>
      </c>
      <c r="E161" s="149">
        <v>0.003221064814814815</v>
      </c>
      <c r="F161">
        <v>6</v>
      </c>
      <c r="G161" s="55">
        <f>IF(E161="","",IF(E161&gt;J160,"","CBP"))</f>
      </c>
      <c r="H161" s="55">
        <f aca="true" t="shared" si="40" ref="H161:H166">IF(E161="","",IF(E161&gt;J$161,"","ESQ"))</f>
      </c>
      <c r="I161" t="s">
        <v>26</v>
      </c>
      <c r="J161" s="49">
        <v>0.003194444444444444</v>
      </c>
    </row>
    <row r="162" spans="1:8" ht="12.75">
      <c r="A162" s="6">
        <v>2</v>
      </c>
      <c r="B162" s="138">
        <v>12</v>
      </c>
      <c r="C162" s="8" t="str">
        <f t="shared" si="38"/>
        <v>Ben Wills</v>
      </c>
      <c r="D162" s="8" t="str">
        <f t="shared" si="39"/>
        <v>WOK</v>
      </c>
      <c r="E162" s="149">
        <v>0.003232638888888889</v>
      </c>
      <c r="F162">
        <v>5</v>
      </c>
      <c r="H162" s="55">
        <f t="shared" si="40"/>
      </c>
    </row>
    <row r="163" spans="1:8" ht="12.75">
      <c r="A163" s="6">
        <v>3</v>
      </c>
      <c r="B163" s="145">
        <v>11</v>
      </c>
      <c r="C163" s="8" t="str">
        <f t="shared" si="38"/>
        <v>Shaun Hudson</v>
      </c>
      <c r="D163" s="8" t="str">
        <f t="shared" si="39"/>
        <v>WOK</v>
      </c>
      <c r="E163" s="149">
        <v>0.003233796296296296</v>
      </c>
      <c r="F163">
        <v>4</v>
      </c>
      <c r="H163" s="55">
        <f t="shared" si="40"/>
      </c>
    </row>
    <row r="164" spans="1:8" ht="12.75">
      <c r="A164" s="6">
        <v>4</v>
      </c>
      <c r="B164" s="141">
        <v>9</v>
      </c>
      <c r="C164" s="8" t="str">
        <f t="shared" si="38"/>
        <v>Oliver McArthur</v>
      </c>
      <c r="D164" s="8" t="str">
        <f t="shared" si="39"/>
        <v>W&amp;M</v>
      </c>
      <c r="E164" s="149">
        <v>0.0032349537037037034</v>
      </c>
      <c r="F164">
        <v>3</v>
      </c>
      <c r="H164" s="55">
        <f t="shared" si="40"/>
      </c>
    </row>
    <row r="165" spans="1:8" ht="12.75">
      <c r="A165" s="6">
        <v>5</v>
      </c>
      <c r="B165" s="132"/>
      <c r="C165" s="8">
        <f t="shared" si="38"/>
      </c>
      <c r="D165" s="8">
        <f t="shared" si="39"/>
      </c>
      <c r="E165" s="149"/>
      <c r="F165">
        <v>2</v>
      </c>
      <c r="H165" s="55">
        <f t="shared" si="40"/>
      </c>
    </row>
    <row r="166" spans="1:8" ht="12.75">
      <c r="A166" s="6">
        <v>6</v>
      </c>
      <c r="B166" s="145"/>
      <c r="C166" s="8">
        <f t="shared" si="38"/>
      </c>
      <c r="D166" s="8">
        <f t="shared" si="39"/>
      </c>
      <c r="E166" s="149"/>
      <c r="F166">
        <v>1</v>
      </c>
      <c r="H166" s="55">
        <f t="shared" si="40"/>
      </c>
    </row>
    <row r="167" spans="1:5" ht="12.75">
      <c r="A167" s="6"/>
      <c r="B167" s="145"/>
      <c r="C167" s="8"/>
      <c r="D167" s="8"/>
      <c r="E167" s="148"/>
    </row>
    <row r="168" spans="1:10" ht="12.75">
      <c r="A168" s="14" t="s">
        <v>268</v>
      </c>
      <c r="B168" s="143"/>
      <c r="C168" s="14"/>
      <c r="D168" s="14"/>
      <c r="E168" s="143"/>
      <c r="F168" s="14"/>
      <c r="G168" s="51"/>
      <c r="H168" s="51"/>
      <c r="I168" s="14"/>
      <c r="J168" s="14"/>
    </row>
    <row r="169" ht="12.75">
      <c r="J169"/>
    </row>
    <row r="170" spans="1:11" ht="12.75">
      <c r="A170" s="1" t="s">
        <v>0</v>
      </c>
      <c r="B170" s="134" t="s">
        <v>1</v>
      </c>
      <c r="C170" s="3" t="s">
        <v>2</v>
      </c>
      <c r="D170" s="4" t="s">
        <v>3</v>
      </c>
      <c r="E170" s="147" t="s">
        <v>4</v>
      </c>
      <c r="F170" s="16" t="s">
        <v>24</v>
      </c>
      <c r="I170" t="s">
        <v>6</v>
      </c>
      <c r="J170" s="49">
        <v>0.006016203703703704</v>
      </c>
      <c r="K170" s="161" t="s">
        <v>343</v>
      </c>
    </row>
    <row r="171" spans="1:10" ht="12.75">
      <c r="A171" s="6">
        <v>1</v>
      </c>
      <c r="B171" s="138"/>
      <c r="C171" s="8">
        <f>IF(OR($B171=0,$B171=""),"",VLOOKUP($B171,ib3000m,2,FALSE))</f>
      </c>
      <c r="D171" s="8">
        <f aca="true" t="shared" si="41" ref="D171:D182">IF(OR($B171=0,$B171=""),"",VLOOKUP($B171,ib3000m,3,FALSE))</f>
      </c>
      <c r="E171" s="149"/>
      <c r="F171">
        <v>6</v>
      </c>
      <c r="G171" s="55">
        <f>IF(E171="","",IF(E171&gt;J170,"","CBP"))</f>
      </c>
      <c r="H171" s="55">
        <f aca="true" t="shared" si="42" ref="H171:H176">IF(E171="","",IF(E171&gt;J$171,"","ESQ"))</f>
      </c>
      <c r="I171" t="s">
        <v>26</v>
      </c>
      <c r="J171" s="49">
        <v>0.006261574074074075</v>
      </c>
    </row>
    <row r="172" spans="1:8" ht="12.75">
      <c r="A172" s="6">
        <v>2</v>
      </c>
      <c r="B172" s="138"/>
      <c r="C172" s="8">
        <f>IF(OR($B172=0,$B172=""),"",VLOOKUP($B172,ib3000m,2,FALSE))</f>
      </c>
      <c r="D172" s="8">
        <f t="shared" si="41"/>
      </c>
      <c r="E172" s="149"/>
      <c r="F172">
        <v>5</v>
      </c>
      <c r="H172" s="55">
        <f t="shared" si="42"/>
      </c>
    </row>
    <row r="173" spans="1:8" ht="12.75">
      <c r="A173" s="6">
        <v>3</v>
      </c>
      <c r="B173" s="145"/>
      <c r="C173" s="8">
        <f>IF(OR($B173=0,$B173=""),"",VLOOKUP($B173,ib3000m,2,FALSE))</f>
      </c>
      <c r="D173" s="8">
        <f t="shared" si="41"/>
      </c>
      <c r="E173" s="149"/>
      <c r="F173">
        <v>4</v>
      </c>
      <c r="H173" s="55">
        <f t="shared" si="42"/>
      </c>
    </row>
    <row r="174" spans="1:8" ht="12.75">
      <c r="A174" s="6">
        <v>4</v>
      </c>
      <c r="B174" s="141"/>
      <c r="C174" s="8">
        <f>IF(OR($B174=0,$B174=""),"",VLOOKUP($B174,ib3000m,2,FALSE))</f>
      </c>
      <c r="D174" s="8">
        <f t="shared" si="41"/>
      </c>
      <c r="E174" s="149"/>
      <c r="F174">
        <v>3</v>
      </c>
      <c r="H174" s="55">
        <f t="shared" si="42"/>
      </c>
    </row>
    <row r="175" spans="1:8" ht="12.75">
      <c r="A175" s="6">
        <v>5</v>
      </c>
      <c r="B175" s="132"/>
      <c r="C175" s="8">
        <f aca="true" t="shared" si="43" ref="C175:C182">IF(OR($B175=0,$B175=""),"",VLOOKUP($B175,ib300m,2,FALSE))</f>
      </c>
      <c r="D175" s="8">
        <f t="shared" si="41"/>
      </c>
      <c r="E175" s="149"/>
      <c r="F175">
        <v>2</v>
      </c>
      <c r="H175" s="55">
        <f t="shared" si="42"/>
      </c>
    </row>
    <row r="176" spans="1:8" ht="12.75">
      <c r="A176" s="6">
        <v>6</v>
      </c>
      <c r="B176" s="145"/>
      <c r="C176" s="8">
        <f t="shared" si="43"/>
      </c>
      <c r="D176" s="8">
        <f t="shared" si="41"/>
      </c>
      <c r="E176" s="149"/>
      <c r="F176">
        <v>1</v>
      </c>
      <c r="H176" s="55">
        <f t="shared" si="42"/>
      </c>
    </row>
    <row r="177" spans="1:10" ht="12.75">
      <c r="A177" s="6">
        <v>7</v>
      </c>
      <c r="C177" s="8">
        <f t="shared" si="43"/>
      </c>
      <c r="D177" s="8">
        <f t="shared" si="41"/>
      </c>
      <c r="E177" s="150"/>
      <c r="J177"/>
    </row>
    <row r="178" spans="1:10" ht="12.75">
      <c r="A178" s="6">
        <v>8</v>
      </c>
      <c r="C178" s="8">
        <f t="shared" si="43"/>
      </c>
      <c r="D178" s="8">
        <f t="shared" si="41"/>
      </c>
      <c r="E178" s="150"/>
      <c r="J178"/>
    </row>
    <row r="179" spans="1:10" ht="12.75">
      <c r="A179" s="6">
        <v>9</v>
      </c>
      <c r="C179" s="8">
        <f t="shared" si="43"/>
      </c>
      <c r="D179" s="8">
        <f t="shared" si="41"/>
      </c>
      <c r="E179" s="150"/>
      <c r="J179"/>
    </row>
    <row r="180" spans="1:10" ht="12.75">
      <c r="A180" s="6">
        <v>10</v>
      </c>
      <c r="C180" s="8">
        <f t="shared" si="43"/>
      </c>
      <c r="D180" s="8">
        <f t="shared" si="41"/>
      </c>
      <c r="E180" s="150"/>
      <c r="J180"/>
    </row>
    <row r="181" spans="1:10" ht="12.75">
      <c r="A181" s="6">
        <v>11</v>
      </c>
      <c r="C181" s="8">
        <f t="shared" si="43"/>
      </c>
      <c r="D181" s="8">
        <f t="shared" si="41"/>
      </c>
      <c r="E181" s="150"/>
      <c r="J181"/>
    </row>
    <row r="182" spans="1:10" ht="12.75">
      <c r="A182" s="6">
        <v>12</v>
      </c>
      <c r="C182" s="8">
        <f t="shared" si="43"/>
      </c>
      <c r="D182" s="8">
        <f t="shared" si="41"/>
      </c>
      <c r="E182" s="150"/>
      <c r="J182"/>
    </row>
    <row r="184" spans="1:18" s="14" customFormat="1" ht="12.75">
      <c r="A184" s="14" t="s">
        <v>45</v>
      </c>
      <c r="B184" s="143"/>
      <c r="E184" s="143"/>
      <c r="G184" s="51"/>
      <c r="H184" s="51"/>
      <c r="K184" s="160"/>
      <c r="Q184" s="51"/>
      <c r="R184" s="51"/>
    </row>
    <row r="186" spans="1:10" ht="12.75">
      <c r="A186" s="14" t="s">
        <v>46</v>
      </c>
      <c r="B186" s="143"/>
      <c r="C186" s="14"/>
      <c r="D186" s="14"/>
      <c r="E186" s="143"/>
      <c r="F186" s="14"/>
      <c r="G186" s="51"/>
      <c r="H186" s="51"/>
      <c r="I186" s="14"/>
      <c r="J186" s="14"/>
    </row>
    <row r="187" ht="12.75">
      <c r="J187"/>
    </row>
    <row r="188" spans="1:11" ht="12.75">
      <c r="A188" s="1" t="s">
        <v>0</v>
      </c>
      <c r="B188" s="134" t="s">
        <v>1</v>
      </c>
      <c r="C188" s="3" t="s">
        <v>2</v>
      </c>
      <c r="D188" s="4" t="s">
        <v>3</v>
      </c>
      <c r="E188" s="147" t="s">
        <v>4</v>
      </c>
      <c r="F188" s="16" t="s">
        <v>24</v>
      </c>
      <c r="I188" t="s">
        <v>6</v>
      </c>
      <c r="J188" s="17">
        <v>72.7</v>
      </c>
      <c r="K188" s="161" t="s">
        <v>271</v>
      </c>
    </row>
    <row r="189" spans="1:10" ht="12.75">
      <c r="A189" s="6">
        <v>1</v>
      </c>
      <c r="B189" s="138">
        <v>1</v>
      </c>
      <c r="C189" s="8" t="str">
        <f aca="true" t="shared" si="44" ref="C189:C194">IF(OR($B189=0,$B189=""),"",VLOOKUP($B189,ibht,2,FALSE))</f>
        <v>J. Gardner</v>
      </c>
      <c r="D189" s="8" t="str">
        <f aca="true" t="shared" si="45" ref="D189:D194">IF(OR($B189=0,$B189=""),"",VLOOKUP($B189,ibht,3,FALSE))</f>
        <v>BRK</v>
      </c>
      <c r="E189" s="151">
        <v>43.36</v>
      </c>
      <c r="F189">
        <v>6</v>
      </c>
      <c r="G189" s="55">
        <f>IF(E189="","",IF(E189&lt;J188,"","CBP"))</f>
      </c>
      <c r="H189" s="55">
        <f aca="true" t="shared" si="46" ref="H189:H194">IF(E189="","",IF(E189&lt;J$189,"","ESQ"))</f>
      </c>
      <c r="I189" t="s">
        <v>26</v>
      </c>
      <c r="J189" s="17">
        <v>50</v>
      </c>
    </row>
    <row r="190" spans="1:8" ht="12.75">
      <c r="A190" s="6">
        <v>2</v>
      </c>
      <c r="B190" s="138"/>
      <c r="C190" s="8">
        <f t="shared" si="44"/>
      </c>
      <c r="D190" s="8">
        <f t="shared" si="45"/>
      </c>
      <c r="E190" s="151"/>
      <c r="F190">
        <v>5</v>
      </c>
      <c r="H190" s="55">
        <f t="shared" si="46"/>
      </c>
    </row>
    <row r="191" spans="1:8" ht="12.75">
      <c r="A191" s="6">
        <v>3</v>
      </c>
      <c r="B191" s="145"/>
      <c r="C191" s="8">
        <f t="shared" si="44"/>
      </c>
      <c r="D191" s="8">
        <f t="shared" si="45"/>
      </c>
      <c r="E191" s="151"/>
      <c r="F191">
        <v>4</v>
      </c>
      <c r="H191" s="55">
        <f t="shared" si="46"/>
      </c>
    </row>
    <row r="192" spans="1:8" ht="12.75">
      <c r="A192" s="6">
        <v>4</v>
      </c>
      <c r="B192" s="141"/>
      <c r="C192" s="8">
        <f t="shared" si="44"/>
      </c>
      <c r="D192" s="8">
        <f t="shared" si="45"/>
      </c>
      <c r="E192" s="151"/>
      <c r="F192">
        <v>3</v>
      </c>
      <c r="H192" s="55">
        <f t="shared" si="46"/>
      </c>
    </row>
    <row r="193" spans="1:8" ht="12.75">
      <c r="A193" s="6">
        <v>5</v>
      </c>
      <c r="B193" s="132"/>
      <c r="C193" s="8">
        <f t="shared" si="44"/>
      </c>
      <c r="D193" s="8">
        <f t="shared" si="45"/>
      </c>
      <c r="E193" s="151"/>
      <c r="F193">
        <v>2</v>
      </c>
      <c r="H193" s="55">
        <f t="shared" si="46"/>
      </c>
    </row>
    <row r="194" spans="1:8" ht="12.75">
      <c r="A194" s="6">
        <v>6</v>
      </c>
      <c r="B194" s="145"/>
      <c r="C194" s="8">
        <f t="shared" si="44"/>
      </c>
      <c r="D194" s="8">
        <f t="shared" si="45"/>
      </c>
      <c r="E194" s="151"/>
      <c r="F194">
        <v>1</v>
      </c>
      <c r="H194" s="55">
        <f t="shared" si="46"/>
      </c>
    </row>
    <row r="196" spans="1:10" ht="12.75">
      <c r="A196" s="14" t="s">
        <v>141</v>
      </c>
      <c r="B196" s="143"/>
      <c r="C196" s="14"/>
      <c r="D196" s="14"/>
      <c r="E196" s="143"/>
      <c r="F196" s="14"/>
      <c r="G196" s="51"/>
      <c r="H196" s="51"/>
      <c r="I196" s="14"/>
      <c r="J196" s="14"/>
    </row>
    <row r="197" ht="12.75">
      <c r="J197"/>
    </row>
    <row r="198" spans="1:12" ht="12.75">
      <c r="A198" s="1" t="s">
        <v>0</v>
      </c>
      <c r="B198" s="134" t="s">
        <v>1</v>
      </c>
      <c r="C198" s="3" t="s">
        <v>2</v>
      </c>
      <c r="D198" s="4" t="s">
        <v>3</v>
      </c>
      <c r="E198" s="147" t="s">
        <v>4</v>
      </c>
      <c r="F198" s="16" t="s">
        <v>24</v>
      </c>
      <c r="I198" t="s">
        <v>6</v>
      </c>
      <c r="J198" s="298">
        <v>2</v>
      </c>
      <c r="K198" s="299" t="s">
        <v>734</v>
      </c>
      <c r="L198" s="300"/>
    </row>
    <row r="199" spans="1:10" ht="12.75">
      <c r="A199" s="6">
        <v>1</v>
      </c>
      <c r="B199" s="138">
        <v>9</v>
      </c>
      <c r="C199" s="8" t="str">
        <f aca="true" t="shared" si="47" ref="C199:C210">IF(OR($B199=0,$B199=""),"",VLOOKUP($B199,ibhj,2,FALSE))</f>
        <v>Harrison Thorne</v>
      </c>
      <c r="D199" s="8" t="str">
        <f aca="true" t="shared" si="48" ref="D199:D210">IF(OR($B199=0,$B199=""),"",VLOOKUP($B199,ibhj,3,FALSE))</f>
        <v>W&amp;M</v>
      </c>
      <c r="E199" s="151">
        <v>1.83</v>
      </c>
      <c r="F199">
        <v>6</v>
      </c>
      <c r="G199" s="55">
        <f>IF(E199="","",IF(E199&lt;J198,"","CBP"))</f>
      </c>
      <c r="H199" s="55">
        <f aca="true" t="shared" si="49" ref="H199:H206">IF(E199="","",IF(E199&lt;J$199,"","ESQ"))</f>
      </c>
      <c r="I199" t="s">
        <v>26</v>
      </c>
      <c r="J199" s="17">
        <v>1.9</v>
      </c>
    </row>
    <row r="200" spans="1:8" ht="12.75">
      <c r="A200" s="6">
        <v>2</v>
      </c>
      <c r="B200" s="138">
        <v>3</v>
      </c>
      <c r="C200" s="8" t="str">
        <f t="shared" si="47"/>
        <v>Stuart Bladen</v>
      </c>
      <c r="D200" s="8" t="str">
        <f t="shared" si="48"/>
        <v>WB</v>
      </c>
      <c r="E200" s="151">
        <v>1.8</v>
      </c>
      <c r="F200">
        <v>5</v>
      </c>
      <c r="H200" s="55">
        <f t="shared" si="49"/>
      </c>
    </row>
    <row r="201" spans="1:8" ht="12.75">
      <c r="A201" s="6">
        <v>3</v>
      </c>
      <c r="B201" s="145">
        <v>10</v>
      </c>
      <c r="C201" s="8" t="str">
        <f t="shared" si="47"/>
        <v>Kola Motaja</v>
      </c>
      <c r="D201" s="8" t="str">
        <f t="shared" si="48"/>
        <v>W&amp;M</v>
      </c>
      <c r="E201" s="151">
        <v>1.6</v>
      </c>
      <c r="F201">
        <v>4</v>
      </c>
      <c r="H201" s="55">
        <f t="shared" si="49"/>
      </c>
    </row>
    <row r="202" spans="1:8" ht="12.75">
      <c r="A202" s="6">
        <v>4</v>
      </c>
      <c r="B202" s="141">
        <v>11</v>
      </c>
      <c r="C202" s="8" t="str">
        <f t="shared" si="47"/>
        <v>D Animashaun</v>
      </c>
      <c r="D202" s="8" t="str">
        <f t="shared" si="48"/>
        <v>WOK</v>
      </c>
      <c r="E202" s="151">
        <v>1.55</v>
      </c>
      <c r="F202">
        <v>3</v>
      </c>
      <c r="H202" s="55">
        <f t="shared" si="49"/>
      </c>
    </row>
    <row r="203" spans="1:8" ht="12.75">
      <c r="A203" s="6">
        <v>5</v>
      </c>
      <c r="B203" s="132">
        <v>5</v>
      </c>
      <c r="C203" s="8" t="str">
        <f t="shared" si="47"/>
        <v>G Hopes</v>
      </c>
      <c r="D203" s="8" t="str">
        <f t="shared" si="48"/>
        <v>RDG</v>
      </c>
      <c r="E203" s="151">
        <v>1.55</v>
      </c>
      <c r="F203">
        <v>2</v>
      </c>
      <c r="H203" s="55">
        <f t="shared" si="49"/>
      </c>
    </row>
    <row r="204" spans="1:8" ht="12.75">
      <c r="A204" s="6">
        <v>6</v>
      </c>
      <c r="B204" s="145">
        <v>6</v>
      </c>
      <c r="C204" s="8" t="str">
        <f t="shared" si="47"/>
        <v>Ojebo Adoh</v>
      </c>
      <c r="D204" s="8" t="str">
        <f t="shared" si="48"/>
        <v>RDG</v>
      </c>
      <c r="E204" s="151">
        <v>1.55</v>
      </c>
      <c r="F204">
        <v>1</v>
      </c>
      <c r="H204" s="55">
        <f t="shared" si="49"/>
      </c>
    </row>
    <row r="205" spans="1:10" ht="12.75">
      <c r="A205" s="6">
        <v>7</v>
      </c>
      <c r="B205" s="146">
        <v>2</v>
      </c>
      <c r="C205" s="8" t="str">
        <f t="shared" si="47"/>
        <v>H Clabburn</v>
      </c>
      <c r="D205" s="8" t="str">
        <f t="shared" si="48"/>
        <v>BRK</v>
      </c>
      <c r="E205" s="152">
        <v>1.4</v>
      </c>
      <c r="H205" s="55">
        <f t="shared" si="49"/>
      </c>
      <c r="J205"/>
    </row>
    <row r="206" spans="1:10" ht="12.75">
      <c r="A206" s="6">
        <v>8</v>
      </c>
      <c r="B206" s="146">
        <v>1</v>
      </c>
      <c r="C206" s="8" t="str">
        <f t="shared" si="47"/>
        <v>X Aurelien</v>
      </c>
      <c r="D206" s="8" t="str">
        <f t="shared" si="48"/>
        <v>BRK</v>
      </c>
      <c r="E206" s="152">
        <v>1.4</v>
      </c>
      <c r="H206" s="55">
        <f t="shared" si="49"/>
      </c>
      <c r="J206"/>
    </row>
    <row r="207" spans="1:10" ht="12.75">
      <c r="A207" s="6">
        <v>9</v>
      </c>
      <c r="C207" s="8">
        <f t="shared" si="47"/>
      </c>
      <c r="D207" s="8">
        <f t="shared" si="48"/>
      </c>
      <c r="E207" s="153"/>
      <c r="J207"/>
    </row>
    <row r="208" spans="1:10" ht="12.75">
      <c r="A208" s="6">
        <v>10</v>
      </c>
      <c r="C208" s="8">
        <f t="shared" si="47"/>
      </c>
      <c r="D208" s="8">
        <f t="shared" si="48"/>
      </c>
      <c r="E208" s="153"/>
      <c r="J208"/>
    </row>
    <row r="209" spans="1:10" ht="12.75">
      <c r="A209" s="6">
        <v>11</v>
      </c>
      <c r="C209" s="8">
        <f t="shared" si="47"/>
      </c>
      <c r="D209" s="8">
        <f t="shared" si="48"/>
      </c>
      <c r="E209" s="153"/>
      <c r="J209"/>
    </row>
    <row r="210" spans="1:10" ht="12.75">
      <c r="A210" s="6">
        <v>12</v>
      </c>
      <c r="C210" s="8">
        <f t="shared" si="47"/>
      </c>
      <c r="D210" s="8">
        <f t="shared" si="48"/>
      </c>
      <c r="E210" s="153"/>
      <c r="J210"/>
    </row>
    <row r="211" spans="1:10" ht="12.75">
      <c r="A211" s="6"/>
      <c r="C211" s="8"/>
      <c r="D211" s="8"/>
      <c r="E211" s="153"/>
      <c r="J211"/>
    </row>
    <row r="212" spans="1:10" ht="12.75">
      <c r="A212" s="14" t="s">
        <v>143</v>
      </c>
      <c r="B212" s="143"/>
      <c r="C212" s="14"/>
      <c r="D212" s="14"/>
      <c r="E212" s="143"/>
      <c r="F212" s="14"/>
      <c r="G212" s="51"/>
      <c r="H212" s="51"/>
      <c r="I212" s="14"/>
      <c r="J212" s="14"/>
    </row>
    <row r="213" ht="12.75">
      <c r="J213"/>
    </row>
    <row r="214" spans="1:10" ht="12.75">
      <c r="A214" s="1" t="s">
        <v>0</v>
      </c>
      <c r="B214" s="134" t="s">
        <v>1</v>
      </c>
      <c r="C214" s="3" t="s">
        <v>2</v>
      </c>
      <c r="D214" s="4" t="s">
        <v>3</v>
      </c>
      <c r="E214" s="147" t="s">
        <v>4</v>
      </c>
      <c r="F214" s="16" t="s">
        <v>24</v>
      </c>
      <c r="I214" t="s">
        <v>6</v>
      </c>
      <c r="J214" s="17">
        <v>3.6</v>
      </c>
    </row>
    <row r="215" spans="1:10" ht="12.75">
      <c r="A215" s="6">
        <v>1</v>
      </c>
      <c r="B215" s="138">
        <v>11</v>
      </c>
      <c r="C215" s="8" t="str">
        <f aca="true" t="shared" si="50" ref="C215:C220">IF(OR($B215=0,$B215=""),"",VLOOKUP($B215,ibpv,2,FALSE))</f>
        <v>Peter Holt</v>
      </c>
      <c r="D215" s="8" t="str">
        <f aca="true" t="shared" si="51" ref="D215:D220">IF(OR($B215=0,$B215=""),"",VLOOKUP($B215,ibpv,3,FALSE))</f>
        <v>WOK</v>
      </c>
      <c r="E215" s="151">
        <v>3.6</v>
      </c>
      <c r="F215">
        <v>6</v>
      </c>
      <c r="G215" s="55" t="str">
        <f>IF(E215="","",IF(E215&lt;J214,"","CBP"))</f>
        <v>CBP</v>
      </c>
      <c r="H215" s="55">
        <f aca="true" t="shared" si="52" ref="H215:H220">IF(E215="","",IF(E215&lt;J$215,"","ESQ"))</f>
      </c>
      <c r="I215" t="s">
        <v>26</v>
      </c>
      <c r="J215" s="17">
        <v>3.9</v>
      </c>
    </row>
    <row r="216" spans="1:8" ht="12.75">
      <c r="A216" s="6">
        <v>2</v>
      </c>
      <c r="B216" s="138">
        <v>12</v>
      </c>
      <c r="C216" s="8" t="str">
        <f t="shared" si="50"/>
        <v>Max Young</v>
      </c>
      <c r="D216" s="8" t="str">
        <f t="shared" si="51"/>
        <v>WOK</v>
      </c>
      <c r="E216" s="151">
        <v>3.4</v>
      </c>
      <c r="F216">
        <v>5</v>
      </c>
      <c r="H216" s="55">
        <f t="shared" si="52"/>
      </c>
    </row>
    <row r="217" spans="1:8" ht="12.75">
      <c r="A217" s="6">
        <v>3</v>
      </c>
      <c r="B217" s="145">
        <v>9</v>
      </c>
      <c r="C217" s="8" t="str">
        <f t="shared" si="50"/>
        <v>Abe Melbourne</v>
      </c>
      <c r="D217" s="8" t="str">
        <f t="shared" si="51"/>
        <v>W&amp;M</v>
      </c>
      <c r="E217" s="151">
        <v>3</v>
      </c>
      <c r="F217">
        <v>4</v>
      </c>
      <c r="H217" s="55">
        <f t="shared" si="52"/>
      </c>
    </row>
    <row r="218" spans="1:8" ht="12.75">
      <c r="A218" s="6">
        <v>4</v>
      </c>
      <c r="B218" s="141">
        <v>8</v>
      </c>
      <c r="C218" s="8" t="str">
        <f t="shared" si="50"/>
        <v>Anthony Rice</v>
      </c>
      <c r="D218" s="8" t="str">
        <f t="shared" si="51"/>
        <v>SL</v>
      </c>
      <c r="E218" s="151">
        <v>2.8</v>
      </c>
      <c r="F218">
        <v>3</v>
      </c>
      <c r="H218" s="55">
        <f t="shared" si="52"/>
      </c>
    </row>
    <row r="219" spans="1:8" ht="12.75">
      <c r="A219" s="6">
        <v>5</v>
      </c>
      <c r="B219" s="132" t="s">
        <v>743</v>
      </c>
      <c r="C219" s="8" t="str">
        <f t="shared" si="50"/>
        <v>Josh Williams</v>
      </c>
      <c r="D219" s="8" t="str">
        <f t="shared" si="51"/>
        <v>SL</v>
      </c>
      <c r="E219" s="151">
        <v>2</v>
      </c>
      <c r="F219">
        <v>2</v>
      </c>
      <c r="H219" s="55">
        <f t="shared" si="52"/>
      </c>
    </row>
    <row r="220" spans="1:8" ht="12.75">
      <c r="A220" s="6">
        <v>6</v>
      </c>
      <c r="B220" s="145"/>
      <c r="C220" s="8">
        <f t="shared" si="50"/>
      </c>
      <c r="D220" s="8">
        <f t="shared" si="51"/>
      </c>
      <c r="E220" s="151"/>
      <c r="F220">
        <v>1</v>
      </c>
      <c r="H220" s="55">
        <f t="shared" si="52"/>
      </c>
    </row>
    <row r="222" spans="1:10" ht="12.75">
      <c r="A222" s="14" t="s">
        <v>52</v>
      </c>
      <c r="B222" s="143"/>
      <c r="C222" s="14"/>
      <c r="D222" s="14"/>
      <c r="E222" s="143"/>
      <c r="F222" s="14"/>
      <c r="G222" s="51"/>
      <c r="H222" s="51"/>
      <c r="I222" s="14"/>
      <c r="J222" s="14"/>
    </row>
    <row r="223" ht="12.75">
      <c r="J223"/>
    </row>
    <row r="224" spans="1:11" ht="12.75">
      <c r="A224" s="1" t="s">
        <v>0</v>
      </c>
      <c r="B224" s="134" t="s">
        <v>1</v>
      </c>
      <c r="C224" s="3" t="s">
        <v>2</v>
      </c>
      <c r="D224" s="4" t="s">
        <v>3</v>
      </c>
      <c r="E224" s="147" t="s">
        <v>4</v>
      </c>
      <c r="F224" s="16" t="s">
        <v>24</v>
      </c>
      <c r="I224" t="s">
        <v>6</v>
      </c>
      <c r="J224" s="17">
        <v>46.92</v>
      </c>
      <c r="K224" s="161" t="s">
        <v>284</v>
      </c>
    </row>
    <row r="225" spans="1:10" ht="12.75">
      <c r="A225" s="6">
        <v>1</v>
      </c>
      <c r="B225" s="138" t="s">
        <v>846</v>
      </c>
      <c r="C225" s="8" t="str">
        <f aca="true" t="shared" si="53" ref="C225:C236">IF(OR($B225=0,$B225=""),"",VLOOKUP($B225,ibdt,2,FALSE))</f>
        <v>J Hill</v>
      </c>
      <c r="D225" s="8" t="str">
        <f aca="true" t="shared" si="54" ref="D225:D236">IF(OR($B225=0,$B225=""),"",VLOOKUP($B225,ibdt,3,FALSE))</f>
        <v>WB</v>
      </c>
      <c r="E225" s="151">
        <v>34.8</v>
      </c>
      <c r="F225">
        <v>6</v>
      </c>
      <c r="G225" s="55">
        <f>IF(E225="","",IF(E225&lt;J224,"","CBP"))</f>
      </c>
      <c r="H225" s="55">
        <f aca="true" t="shared" si="55" ref="H225:H231">IF(E225="","",IF(E225&lt;J$225,"","ESQ"))</f>
      </c>
      <c r="I225" t="s">
        <v>26</v>
      </c>
      <c r="J225" s="17">
        <v>41</v>
      </c>
    </row>
    <row r="226" spans="1:8" ht="12.75">
      <c r="A226" s="6">
        <v>2</v>
      </c>
      <c r="B226" s="138">
        <v>9</v>
      </c>
      <c r="C226" s="8" t="str">
        <f t="shared" si="53"/>
        <v>Josh Teeder</v>
      </c>
      <c r="D226" s="8" t="str">
        <f t="shared" si="54"/>
        <v>W&amp;M</v>
      </c>
      <c r="E226" s="151">
        <v>33.25</v>
      </c>
      <c r="F226">
        <v>5</v>
      </c>
      <c r="H226" s="55">
        <f t="shared" si="55"/>
      </c>
    </row>
    <row r="227" spans="1:8" ht="12.75">
      <c r="A227" s="6">
        <v>3</v>
      </c>
      <c r="B227" s="145">
        <v>3</v>
      </c>
      <c r="C227" s="8" t="str">
        <f t="shared" si="53"/>
        <v>H Donne</v>
      </c>
      <c r="D227" s="8" t="str">
        <f t="shared" si="54"/>
        <v>WB</v>
      </c>
      <c r="E227" s="151">
        <v>29.46</v>
      </c>
      <c r="F227">
        <v>4</v>
      </c>
      <c r="H227" s="55">
        <f t="shared" si="55"/>
      </c>
    </row>
    <row r="228" spans="1:8" ht="12.75">
      <c r="A228" s="6">
        <v>4</v>
      </c>
      <c r="B228" s="141">
        <v>10</v>
      </c>
      <c r="C228" s="8" t="str">
        <f t="shared" si="53"/>
        <v>Josh Ihezue</v>
      </c>
      <c r="D228" s="8" t="str">
        <f t="shared" si="54"/>
        <v>W&amp;M</v>
      </c>
      <c r="E228" s="151">
        <v>27.45</v>
      </c>
      <c r="F228">
        <v>3</v>
      </c>
      <c r="H228" s="55">
        <f t="shared" si="55"/>
      </c>
    </row>
    <row r="229" spans="1:8" ht="12.75">
      <c r="A229" s="6">
        <v>5</v>
      </c>
      <c r="B229" s="132">
        <v>7</v>
      </c>
      <c r="C229" s="8" t="str">
        <f t="shared" si="53"/>
        <v>Aaron MacPepple-Jaja</v>
      </c>
      <c r="D229" s="8" t="str">
        <f t="shared" si="54"/>
        <v>SL</v>
      </c>
      <c r="E229" s="151">
        <v>24.05</v>
      </c>
      <c r="F229">
        <v>2</v>
      </c>
      <c r="H229" s="55">
        <f t="shared" si="55"/>
      </c>
    </row>
    <row r="230" spans="1:8" ht="12.75">
      <c r="A230" s="6">
        <v>6</v>
      </c>
      <c r="B230" s="145">
        <v>5</v>
      </c>
      <c r="C230" s="8" t="str">
        <f t="shared" si="53"/>
        <v>Charlie Cox</v>
      </c>
      <c r="D230" s="8" t="str">
        <f t="shared" si="54"/>
        <v>RDG</v>
      </c>
      <c r="E230" s="151">
        <v>22.5</v>
      </c>
      <c r="F230">
        <v>1</v>
      </c>
      <c r="H230" s="55">
        <f t="shared" si="55"/>
      </c>
    </row>
    <row r="231" spans="1:10" ht="12.75">
      <c r="A231" s="6">
        <v>7</v>
      </c>
      <c r="B231" s="146">
        <v>2</v>
      </c>
      <c r="C231" s="8" t="str">
        <f t="shared" si="53"/>
        <v>M Nicholls</v>
      </c>
      <c r="D231" s="8" t="str">
        <f t="shared" si="54"/>
        <v>BRK</v>
      </c>
      <c r="E231" s="152">
        <v>20.65</v>
      </c>
      <c r="H231" s="55">
        <f t="shared" si="55"/>
      </c>
      <c r="J231"/>
    </row>
    <row r="232" spans="1:10" ht="12.75">
      <c r="A232" s="6">
        <v>8</v>
      </c>
      <c r="B232" s="146"/>
      <c r="C232" s="8">
        <f t="shared" si="53"/>
      </c>
      <c r="D232" s="8">
        <f t="shared" si="54"/>
      </c>
      <c r="E232" s="153"/>
      <c r="J232"/>
    </row>
    <row r="233" spans="1:10" ht="12.75">
      <c r="A233" s="6">
        <v>9</v>
      </c>
      <c r="B233" s="146"/>
      <c r="C233" s="8">
        <f t="shared" si="53"/>
      </c>
      <c r="D233" s="8">
        <f t="shared" si="54"/>
      </c>
      <c r="E233" s="153"/>
      <c r="J233"/>
    </row>
    <row r="234" spans="1:10" ht="12.75">
      <c r="A234" s="6">
        <v>10</v>
      </c>
      <c r="C234" s="8">
        <f t="shared" si="53"/>
      </c>
      <c r="D234" s="8">
        <f t="shared" si="54"/>
      </c>
      <c r="E234" s="153"/>
      <c r="J234"/>
    </row>
    <row r="235" spans="1:10" ht="12.75">
      <c r="A235" s="6">
        <v>11</v>
      </c>
      <c r="C235" s="8">
        <f t="shared" si="53"/>
      </c>
      <c r="D235" s="8">
        <f t="shared" si="54"/>
      </c>
      <c r="E235" s="153"/>
      <c r="J235"/>
    </row>
    <row r="236" spans="1:10" ht="12.75">
      <c r="A236" s="6">
        <v>12</v>
      </c>
      <c r="C236" s="8">
        <f t="shared" si="53"/>
      </c>
      <c r="D236" s="8">
        <f t="shared" si="54"/>
      </c>
      <c r="E236" s="153"/>
      <c r="J236"/>
    </row>
    <row r="238" spans="1:10" ht="12.75">
      <c r="A238" s="14" t="s">
        <v>53</v>
      </c>
      <c r="B238" s="143"/>
      <c r="C238" s="14"/>
      <c r="D238" s="14"/>
      <c r="E238" s="143"/>
      <c r="F238" s="14"/>
      <c r="G238" s="51"/>
      <c r="H238" s="51"/>
      <c r="I238" s="14"/>
      <c r="J238" s="14"/>
    </row>
    <row r="239" ht="12.75">
      <c r="J239"/>
    </row>
    <row r="240" spans="1:11" ht="12.75">
      <c r="A240" s="1" t="s">
        <v>0</v>
      </c>
      <c r="B240" s="134" t="s">
        <v>1</v>
      </c>
      <c r="C240" s="3" t="s">
        <v>2</v>
      </c>
      <c r="D240" s="4" t="s">
        <v>3</v>
      </c>
      <c r="E240" s="147" t="s">
        <v>4</v>
      </c>
      <c r="F240" s="16" t="s">
        <v>24</v>
      </c>
      <c r="I240" t="s">
        <v>6</v>
      </c>
      <c r="J240" s="17">
        <v>6.86</v>
      </c>
      <c r="K240" s="161" t="s">
        <v>286</v>
      </c>
    </row>
    <row r="241" spans="1:10" ht="12.75">
      <c r="A241" s="6">
        <v>1</v>
      </c>
      <c r="B241" s="138">
        <v>11</v>
      </c>
      <c r="C241" s="8" t="str">
        <f aca="true" t="shared" si="56" ref="C241:C252">IF(OR($B241=0,$B241=""),"",VLOOKUP($B241,iblj,2,FALSE))</f>
        <v>J Myers</v>
      </c>
      <c r="D241" s="8" t="str">
        <f aca="true" t="shared" si="57" ref="D241:D252">IF(OR($B241=0,$B241=""),"",VLOOKUP($B241,iblj,3,FALSE))</f>
        <v>WOK</v>
      </c>
      <c r="E241" s="151">
        <v>5.58</v>
      </c>
      <c r="F241">
        <v>6</v>
      </c>
      <c r="G241" s="55">
        <f>IF(E241="","",IF(E241&lt;J240,"","CBP"))</f>
      </c>
      <c r="H241" s="55">
        <f aca="true" t="shared" si="58" ref="H241:H247">IF(E241="","",IF(E241&lt;J$241,"","ESQ"))</f>
      </c>
      <c r="I241" t="s">
        <v>26</v>
      </c>
      <c r="J241" s="17">
        <v>6.4</v>
      </c>
    </row>
    <row r="242" spans="1:8" ht="12.75">
      <c r="A242" s="6">
        <v>2</v>
      </c>
      <c r="B242" s="138">
        <v>3</v>
      </c>
      <c r="C242" s="8" t="str">
        <f t="shared" si="56"/>
        <v>M Maynard</v>
      </c>
      <c r="D242" s="8" t="str">
        <f t="shared" si="57"/>
        <v>WB</v>
      </c>
      <c r="E242" s="151">
        <v>5.55</v>
      </c>
      <c r="F242">
        <v>5</v>
      </c>
      <c r="H242" s="55">
        <f t="shared" si="58"/>
      </c>
    </row>
    <row r="243" spans="1:8" ht="12.75">
      <c r="A243" s="6">
        <v>3</v>
      </c>
      <c r="B243" s="145">
        <v>9</v>
      </c>
      <c r="C243" s="8" t="str">
        <f t="shared" si="56"/>
        <v>Khviwalid Shabban</v>
      </c>
      <c r="D243" s="8" t="str">
        <f t="shared" si="57"/>
        <v>W&amp;M</v>
      </c>
      <c r="E243" s="151">
        <v>5.54</v>
      </c>
      <c r="F243">
        <v>4</v>
      </c>
      <c r="H243" s="55">
        <f t="shared" si="58"/>
      </c>
    </row>
    <row r="244" spans="1:8" ht="12.75">
      <c r="A244" s="6">
        <v>4</v>
      </c>
      <c r="B244" s="141">
        <v>2</v>
      </c>
      <c r="C244" s="8" t="str">
        <f t="shared" si="56"/>
        <v>C Castle</v>
      </c>
      <c r="D244" s="8" t="str">
        <f t="shared" si="57"/>
        <v>BRK</v>
      </c>
      <c r="E244" s="151">
        <v>4.83</v>
      </c>
      <c r="F244">
        <v>3</v>
      </c>
      <c r="H244" s="55">
        <f t="shared" si="58"/>
      </c>
    </row>
    <row r="245" spans="1:8" ht="12.75">
      <c r="A245" s="6">
        <v>5</v>
      </c>
      <c r="B245" s="132">
        <v>10</v>
      </c>
      <c r="C245" s="8" t="str">
        <f t="shared" si="56"/>
        <v>Oliver Norley</v>
      </c>
      <c r="D245" s="8" t="str">
        <f t="shared" si="57"/>
        <v>W&amp;M</v>
      </c>
      <c r="E245" s="151">
        <v>4.51</v>
      </c>
      <c r="F245">
        <v>2</v>
      </c>
      <c r="H245" s="55">
        <f t="shared" si="58"/>
      </c>
    </row>
    <row r="246" spans="1:8" ht="12.75">
      <c r="A246" s="6">
        <v>6</v>
      </c>
      <c r="B246" s="145"/>
      <c r="C246" s="8">
        <f t="shared" si="56"/>
      </c>
      <c r="D246" s="8">
        <f t="shared" si="57"/>
      </c>
      <c r="E246" s="151"/>
      <c r="F246">
        <v>1</v>
      </c>
      <c r="H246" s="55">
        <f t="shared" si="58"/>
      </c>
    </row>
    <row r="247" spans="1:10" ht="12.75">
      <c r="A247" s="6">
        <v>7</v>
      </c>
      <c r="B247" s="146"/>
      <c r="C247" s="8">
        <f t="shared" si="56"/>
      </c>
      <c r="D247" s="8">
        <f t="shared" si="57"/>
      </c>
      <c r="E247" s="153"/>
      <c r="H247" s="55">
        <f t="shared" si="58"/>
      </c>
      <c r="J247"/>
    </row>
    <row r="248" spans="1:10" ht="12.75">
      <c r="A248" s="6">
        <v>8</v>
      </c>
      <c r="B248" s="146"/>
      <c r="C248" s="8">
        <f t="shared" si="56"/>
      </c>
      <c r="D248" s="8">
        <f t="shared" si="57"/>
      </c>
      <c r="E248" s="153"/>
      <c r="J248"/>
    </row>
    <row r="249" spans="1:10" ht="12.75">
      <c r="A249" s="6">
        <v>9</v>
      </c>
      <c r="B249" s="146"/>
      <c r="C249" s="8">
        <f t="shared" si="56"/>
      </c>
      <c r="D249" s="8">
        <f t="shared" si="57"/>
      </c>
      <c r="E249" s="153"/>
      <c r="J249"/>
    </row>
    <row r="250" spans="1:10" ht="12.75">
      <c r="A250" s="6">
        <v>10</v>
      </c>
      <c r="C250" s="8">
        <f t="shared" si="56"/>
      </c>
      <c r="D250" s="8">
        <f t="shared" si="57"/>
      </c>
      <c r="E250" s="153"/>
      <c r="J250"/>
    </row>
    <row r="251" spans="1:10" ht="12.75">
      <c r="A251" s="6">
        <v>11</v>
      </c>
      <c r="C251" s="8">
        <f t="shared" si="56"/>
      </c>
      <c r="D251" s="8">
        <f t="shared" si="57"/>
      </c>
      <c r="E251" s="153"/>
      <c r="J251"/>
    </row>
    <row r="252" spans="1:10" ht="12.75">
      <c r="A252" s="6">
        <v>12</v>
      </c>
      <c r="C252" s="8">
        <f t="shared" si="56"/>
      </c>
      <c r="D252" s="8">
        <f t="shared" si="57"/>
      </c>
      <c r="E252" s="153"/>
      <c r="J252"/>
    </row>
    <row r="255" spans="1:10" ht="12.75">
      <c r="A255" s="14" t="s">
        <v>58</v>
      </c>
      <c r="B255" s="143"/>
      <c r="C255" s="14"/>
      <c r="D255" s="14"/>
      <c r="E255" s="143"/>
      <c r="F255" s="14"/>
      <c r="G255" s="51"/>
      <c r="H255" s="51"/>
      <c r="I255" s="14"/>
      <c r="J255" s="14"/>
    </row>
    <row r="256" ht="12.75">
      <c r="J256"/>
    </row>
    <row r="257" spans="1:11" ht="12.75">
      <c r="A257" s="1" t="s">
        <v>0</v>
      </c>
      <c r="B257" s="134" t="s">
        <v>1</v>
      </c>
      <c r="C257" s="3" t="s">
        <v>2</v>
      </c>
      <c r="D257" s="4" t="s">
        <v>3</v>
      </c>
      <c r="E257" s="147" t="s">
        <v>4</v>
      </c>
      <c r="F257" s="16" t="s">
        <v>24</v>
      </c>
      <c r="I257" t="s">
        <v>6</v>
      </c>
      <c r="J257" s="17">
        <v>14</v>
      </c>
      <c r="K257" s="161" t="s">
        <v>292</v>
      </c>
    </row>
    <row r="258" spans="1:10" ht="12.75">
      <c r="A258" s="6">
        <v>1</v>
      </c>
      <c r="B258" s="138">
        <v>4</v>
      </c>
      <c r="C258" s="8" t="str">
        <f aca="true" t="shared" si="59" ref="C258:C269">IF(OR($B258=0,$B258=""),"",VLOOKUP($B258,ibtj,2,FALSE))</f>
        <v>J Douglas</v>
      </c>
      <c r="D258" s="8" t="str">
        <f aca="true" t="shared" si="60" ref="D258:D269">IF(OR($B258=0,$B258=""),"",VLOOKUP($B258,ibtj,3,FALSE))</f>
        <v>WB</v>
      </c>
      <c r="E258" s="151">
        <v>12.28</v>
      </c>
      <c r="F258">
        <v>6</v>
      </c>
      <c r="G258" s="55">
        <f>IF(E258="","",IF(E258&lt;J257,"","CBP"))</f>
      </c>
      <c r="H258" s="55">
        <f aca="true" t="shared" si="61" ref="H258:H264">IF(E258="","",IF(E258&lt;J$258,"","ESQ"))</f>
      </c>
      <c r="I258" t="s">
        <v>26</v>
      </c>
      <c r="J258" s="17">
        <v>13.2</v>
      </c>
    </row>
    <row r="259" spans="1:8" ht="12.75">
      <c r="A259" s="6">
        <v>2</v>
      </c>
      <c r="B259" s="138">
        <v>3</v>
      </c>
      <c r="C259" s="8" t="str">
        <f t="shared" si="59"/>
        <v>P Narangpen</v>
      </c>
      <c r="D259" s="8" t="str">
        <f t="shared" si="60"/>
        <v>WB</v>
      </c>
      <c r="E259" s="151">
        <v>11.69</v>
      </c>
      <c r="F259">
        <v>5</v>
      </c>
      <c r="H259" s="55">
        <f t="shared" si="61"/>
      </c>
    </row>
    <row r="260" spans="1:8" ht="12.75">
      <c r="A260" s="6">
        <v>3</v>
      </c>
      <c r="B260" s="145">
        <v>9</v>
      </c>
      <c r="C260" s="8" t="str">
        <f t="shared" si="59"/>
        <v>Jude Van Spall</v>
      </c>
      <c r="D260" s="8" t="str">
        <f t="shared" si="60"/>
        <v>W&amp;M</v>
      </c>
      <c r="E260" s="151">
        <v>11.56</v>
      </c>
      <c r="F260">
        <v>4</v>
      </c>
      <c r="H260" s="55">
        <f t="shared" si="61"/>
      </c>
    </row>
    <row r="261" spans="1:8" ht="12.75">
      <c r="A261" s="6">
        <v>4</v>
      </c>
      <c r="B261" s="141">
        <v>10</v>
      </c>
      <c r="C261" s="8" t="str">
        <f t="shared" si="59"/>
        <v>Raja Khan</v>
      </c>
      <c r="D261" s="8" t="str">
        <f t="shared" si="60"/>
        <v>W&amp;M</v>
      </c>
      <c r="E261" s="151">
        <v>10.75</v>
      </c>
      <c r="F261">
        <v>3</v>
      </c>
      <c r="H261" s="55">
        <f t="shared" si="61"/>
      </c>
    </row>
    <row r="262" spans="1:8" ht="12.75">
      <c r="A262" s="6">
        <v>5</v>
      </c>
      <c r="B262" s="132">
        <v>11</v>
      </c>
      <c r="C262" s="8" t="str">
        <f t="shared" si="59"/>
        <v>J Pitney</v>
      </c>
      <c r="D262" s="8" t="str">
        <f t="shared" si="60"/>
        <v>WOK</v>
      </c>
      <c r="E262" s="151">
        <v>10.55</v>
      </c>
      <c r="F262">
        <v>2</v>
      </c>
      <c r="H262" s="55">
        <f t="shared" si="61"/>
      </c>
    </row>
    <row r="263" spans="1:8" ht="12.75">
      <c r="A263" s="6">
        <v>6</v>
      </c>
      <c r="B263" s="145"/>
      <c r="C263" s="8">
        <f t="shared" si="59"/>
      </c>
      <c r="D263" s="8">
        <f t="shared" si="60"/>
      </c>
      <c r="E263" s="151"/>
      <c r="F263">
        <v>1</v>
      </c>
      <c r="H263" s="55">
        <f t="shared" si="61"/>
      </c>
    </row>
    <row r="264" spans="1:10" ht="12.75">
      <c r="A264" s="6">
        <v>7</v>
      </c>
      <c r="C264" s="8">
        <f t="shared" si="59"/>
      </c>
      <c r="D264" s="8">
        <f t="shared" si="60"/>
      </c>
      <c r="E264" s="153"/>
      <c r="H264" s="55">
        <f t="shared" si="61"/>
      </c>
      <c r="J264"/>
    </row>
    <row r="265" spans="1:10" ht="12.75">
      <c r="A265" s="6">
        <v>8</v>
      </c>
      <c r="C265" s="8">
        <f t="shared" si="59"/>
      </c>
      <c r="D265" s="8">
        <f t="shared" si="60"/>
      </c>
      <c r="E265" s="153"/>
      <c r="J265"/>
    </row>
    <row r="266" spans="1:10" ht="12.75">
      <c r="A266" s="6">
        <v>9</v>
      </c>
      <c r="C266" s="8">
        <f t="shared" si="59"/>
      </c>
      <c r="D266" s="8">
        <f t="shared" si="60"/>
      </c>
      <c r="E266" s="153"/>
      <c r="J266"/>
    </row>
    <row r="267" spans="1:10" ht="12.75">
      <c r="A267" s="6">
        <v>10</v>
      </c>
      <c r="C267" s="8">
        <f t="shared" si="59"/>
      </c>
      <c r="D267" s="8">
        <f t="shared" si="60"/>
      </c>
      <c r="E267" s="153"/>
      <c r="J267"/>
    </row>
    <row r="268" spans="1:10" ht="12.75">
      <c r="A268" s="6">
        <v>11</v>
      </c>
      <c r="C268" s="8">
        <f t="shared" si="59"/>
      </c>
      <c r="D268" s="8">
        <f t="shared" si="60"/>
      </c>
      <c r="E268" s="153"/>
      <c r="J268"/>
    </row>
    <row r="269" spans="1:10" ht="12.75">
      <c r="A269" s="6">
        <v>12</v>
      </c>
      <c r="C269" s="8">
        <f t="shared" si="59"/>
      </c>
      <c r="D269" s="8">
        <f t="shared" si="60"/>
      </c>
      <c r="E269" s="153"/>
      <c r="J269"/>
    </row>
    <row r="271" spans="1:10" ht="12.75">
      <c r="A271" s="14" t="s">
        <v>145</v>
      </c>
      <c r="B271" s="143"/>
      <c r="C271" s="14"/>
      <c r="D271" s="14"/>
      <c r="E271" s="143"/>
      <c r="F271" s="14"/>
      <c r="G271" s="51"/>
      <c r="H271" s="51"/>
      <c r="I271" s="14"/>
      <c r="J271" s="14"/>
    </row>
    <row r="272" ht="12.75">
      <c r="J272"/>
    </row>
    <row r="273" spans="1:11" ht="12.75">
      <c r="A273" s="1" t="s">
        <v>0</v>
      </c>
      <c r="B273" s="134" t="s">
        <v>1</v>
      </c>
      <c r="C273" s="3" t="s">
        <v>2</v>
      </c>
      <c r="D273" s="4" t="s">
        <v>3</v>
      </c>
      <c r="E273" s="147" t="s">
        <v>4</v>
      </c>
      <c r="F273" s="16" t="s">
        <v>24</v>
      </c>
      <c r="I273" t="s">
        <v>6</v>
      </c>
      <c r="J273" s="17">
        <v>15.41</v>
      </c>
      <c r="K273" s="161" t="s">
        <v>290</v>
      </c>
    </row>
    <row r="274" spans="1:10" ht="12.75">
      <c r="A274" s="6">
        <v>1</v>
      </c>
      <c r="B274" s="138">
        <v>11</v>
      </c>
      <c r="C274" s="8" t="str">
        <f aca="true" t="shared" si="62" ref="C274:C285">IF(OR($B274=0,$B274=""),"",VLOOKUP($B274,ibsp,2,FALSE))</f>
        <v>C Gurung</v>
      </c>
      <c r="D274" s="8" t="str">
        <f aca="true" t="shared" si="63" ref="D274:D285">IF(OR($B274=0,$B274=""),"",VLOOKUP($B274,ibsp,3,FALSE))</f>
        <v>WOK</v>
      </c>
      <c r="E274" s="151">
        <v>12.07</v>
      </c>
      <c r="F274">
        <v>6</v>
      </c>
      <c r="G274" s="55">
        <f>IF(E274="","",IF(E274&lt;J273,"","CBP"))</f>
      </c>
      <c r="H274" s="55">
        <f aca="true" t="shared" si="64" ref="H274:H283">IF(E274="","",IF(E274&lt;J$274,"","ESQ"))</f>
      </c>
      <c r="I274" t="s">
        <v>26</v>
      </c>
      <c r="J274" s="17">
        <v>13.2</v>
      </c>
    </row>
    <row r="275" spans="1:8" ht="12.75">
      <c r="A275" s="6">
        <v>2</v>
      </c>
      <c r="B275" s="138">
        <v>4</v>
      </c>
      <c r="C275" s="8" t="str">
        <f t="shared" si="62"/>
        <v>Z Montgomery</v>
      </c>
      <c r="D275" s="8" t="str">
        <f t="shared" si="63"/>
        <v>WB</v>
      </c>
      <c r="E275" s="151">
        <v>12.02</v>
      </c>
      <c r="F275">
        <v>5</v>
      </c>
      <c r="H275" s="55">
        <f t="shared" si="64"/>
      </c>
    </row>
    <row r="276" spans="1:8" ht="12.75">
      <c r="A276" s="6">
        <v>3</v>
      </c>
      <c r="B276" s="138">
        <v>3</v>
      </c>
      <c r="C276" s="8" t="str">
        <f t="shared" si="62"/>
        <v>T Butler</v>
      </c>
      <c r="D276" s="8" t="str">
        <f t="shared" si="63"/>
        <v>WB</v>
      </c>
      <c r="E276" s="151">
        <v>11.96</v>
      </c>
      <c r="F276">
        <v>4</v>
      </c>
      <c r="H276" s="55">
        <f t="shared" si="64"/>
      </c>
    </row>
    <row r="277" spans="1:8" ht="12.75">
      <c r="A277" s="6">
        <v>4</v>
      </c>
      <c r="B277" s="138">
        <v>7</v>
      </c>
      <c r="C277" s="8" t="str">
        <f t="shared" si="62"/>
        <v>Will Atiomo</v>
      </c>
      <c r="D277" s="8" t="str">
        <f t="shared" si="63"/>
        <v>SL</v>
      </c>
      <c r="E277" s="151">
        <v>11.83</v>
      </c>
      <c r="F277">
        <v>3</v>
      </c>
      <c r="H277" s="55">
        <f t="shared" si="64"/>
      </c>
    </row>
    <row r="278" spans="1:8" ht="12.75">
      <c r="A278" s="6">
        <v>5</v>
      </c>
      <c r="B278" s="138">
        <v>10</v>
      </c>
      <c r="C278" s="8" t="str">
        <f t="shared" si="62"/>
        <v>Michael Davis</v>
      </c>
      <c r="D278" s="8" t="str">
        <f t="shared" si="63"/>
        <v>W&amp;M</v>
      </c>
      <c r="E278" s="151">
        <v>11.39</v>
      </c>
      <c r="F278">
        <v>2</v>
      </c>
      <c r="H278" s="55">
        <f t="shared" si="64"/>
      </c>
    </row>
    <row r="279" spans="1:8" ht="12.75">
      <c r="A279" s="6">
        <v>6</v>
      </c>
      <c r="B279" s="138">
        <v>9</v>
      </c>
      <c r="C279" s="8" t="str">
        <f t="shared" si="62"/>
        <v>Jamie Cissell</v>
      </c>
      <c r="D279" s="8" t="str">
        <f t="shared" si="63"/>
        <v>W&amp;M</v>
      </c>
      <c r="E279" s="151">
        <v>11.38</v>
      </c>
      <c r="F279">
        <v>1</v>
      </c>
      <c r="H279" s="55">
        <f t="shared" si="64"/>
      </c>
    </row>
    <row r="280" spans="1:10" ht="12.75">
      <c r="A280" s="6">
        <v>7</v>
      </c>
      <c r="B280" s="138">
        <v>1</v>
      </c>
      <c r="C280" s="8" t="str">
        <f t="shared" si="62"/>
        <v>J Mears</v>
      </c>
      <c r="D280" s="8" t="str">
        <f t="shared" si="63"/>
        <v>BRK</v>
      </c>
      <c r="E280" s="151">
        <v>10.79</v>
      </c>
      <c r="H280" s="55">
        <f t="shared" si="64"/>
      </c>
      <c r="J280"/>
    </row>
    <row r="281" spans="1:10" ht="12.75">
      <c r="A281" s="6">
        <v>8</v>
      </c>
      <c r="B281" s="301">
        <v>5</v>
      </c>
      <c r="C281" s="8" t="str">
        <f t="shared" si="62"/>
        <v>David Coleman</v>
      </c>
      <c r="D281" s="8" t="str">
        <f t="shared" si="63"/>
        <v>RDG</v>
      </c>
      <c r="E281" s="152">
        <v>10.29</v>
      </c>
      <c r="H281" s="55">
        <f t="shared" si="64"/>
      </c>
      <c r="J281"/>
    </row>
    <row r="282" spans="1:10" ht="12.75">
      <c r="A282" s="6">
        <v>9</v>
      </c>
      <c r="B282" s="301"/>
      <c r="C282" s="8">
        <f t="shared" si="62"/>
      </c>
      <c r="D282" s="8">
        <f t="shared" si="63"/>
      </c>
      <c r="E282" s="152"/>
      <c r="H282" s="55">
        <f t="shared" si="64"/>
      </c>
      <c r="J282"/>
    </row>
    <row r="283" spans="1:10" ht="12.75">
      <c r="A283" s="6">
        <v>10</v>
      </c>
      <c r="B283" s="301"/>
      <c r="C283" s="8">
        <f t="shared" si="62"/>
      </c>
      <c r="D283" s="8">
        <f t="shared" si="63"/>
      </c>
      <c r="E283" s="152"/>
      <c r="H283" s="55">
        <f t="shared" si="64"/>
      </c>
      <c r="J283"/>
    </row>
    <row r="284" spans="1:10" ht="12.75">
      <c r="A284" s="6">
        <v>11</v>
      </c>
      <c r="C284" s="8">
        <f t="shared" si="62"/>
      </c>
      <c r="D284" s="8">
        <f t="shared" si="63"/>
      </c>
      <c r="E284" s="153"/>
      <c r="J284"/>
    </row>
    <row r="285" spans="1:10" ht="12.75">
      <c r="A285" s="6">
        <v>12</v>
      </c>
      <c r="C285" s="8">
        <f t="shared" si="62"/>
      </c>
      <c r="D285" s="8">
        <f t="shared" si="63"/>
      </c>
      <c r="E285" s="153"/>
      <c r="J285"/>
    </row>
    <row r="287" spans="1:10" ht="12.75">
      <c r="A287" s="14" t="s">
        <v>64</v>
      </c>
      <c r="B287" s="143"/>
      <c r="C287" s="14"/>
      <c r="D287" s="14"/>
      <c r="E287" s="143"/>
      <c r="F287" s="14"/>
      <c r="G287" s="51"/>
      <c r="H287" s="51"/>
      <c r="I287" s="14"/>
      <c r="J287" s="14"/>
    </row>
    <row r="288" ht="12.75">
      <c r="J288"/>
    </row>
    <row r="289" spans="1:11" ht="12.75">
      <c r="A289" s="1" t="s">
        <v>0</v>
      </c>
      <c r="B289" s="134" t="s">
        <v>1</v>
      </c>
      <c r="C289" s="3" t="s">
        <v>2</v>
      </c>
      <c r="D289" s="4" t="s">
        <v>3</v>
      </c>
      <c r="E289" s="147" t="s">
        <v>4</v>
      </c>
      <c r="F289" s="16" t="s">
        <v>24</v>
      </c>
      <c r="I289" t="s">
        <v>6</v>
      </c>
      <c r="J289" s="17">
        <v>62</v>
      </c>
      <c r="K289" s="161" t="s">
        <v>298</v>
      </c>
    </row>
    <row r="290" spans="1:10" ht="12.75">
      <c r="A290" s="6">
        <v>1</v>
      </c>
      <c r="B290" s="138">
        <v>3</v>
      </c>
      <c r="C290" s="8" t="str">
        <f aca="true" t="shared" si="65" ref="C290:C301">IF(OR($B290=0,$B290=""),"",VLOOKUP($B290,ibjt,2,FALSE))</f>
        <v>B-S Bannister</v>
      </c>
      <c r="D290" s="8" t="str">
        <f aca="true" t="shared" si="66" ref="D290:D301">IF(OR($B290=0,$B290=""),"",VLOOKUP($B290,ibjt,3,FALSE))</f>
        <v>WB</v>
      </c>
      <c r="E290" s="151">
        <v>46.93</v>
      </c>
      <c r="F290">
        <v>6</v>
      </c>
      <c r="G290" s="55">
        <f>IF(E290="","",IF(E290&lt;J289,"","CBP"))</f>
      </c>
      <c r="H290" s="55">
        <f aca="true" t="shared" si="67" ref="H290:H296">IF(E290="","",IF(E290&lt;J$290,"","ESQ"))</f>
      </c>
      <c r="I290" t="s">
        <v>26</v>
      </c>
      <c r="J290" s="17">
        <v>52</v>
      </c>
    </row>
    <row r="291" spans="1:8" ht="12.75">
      <c r="A291" s="6">
        <v>2</v>
      </c>
      <c r="B291" s="138">
        <v>12</v>
      </c>
      <c r="C291" s="8" t="str">
        <f t="shared" si="65"/>
        <v>T Johnson</v>
      </c>
      <c r="D291" s="8" t="str">
        <f t="shared" si="66"/>
        <v>WOK</v>
      </c>
      <c r="E291" s="151">
        <v>39.88</v>
      </c>
      <c r="F291">
        <v>5</v>
      </c>
      <c r="H291" s="55">
        <f t="shared" si="67"/>
      </c>
    </row>
    <row r="292" spans="1:8" ht="12.75">
      <c r="A292" s="6">
        <v>3</v>
      </c>
      <c r="B292" s="138">
        <v>5</v>
      </c>
      <c r="C292" s="8" t="str">
        <f t="shared" si="65"/>
        <v>Oliver Mattews</v>
      </c>
      <c r="D292" s="8" t="str">
        <f t="shared" si="66"/>
        <v>RDG</v>
      </c>
      <c r="E292" s="151">
        <v>37.95</v>
      </c>
      <c r="F292">
        <v>4</v>
      </c>
      <c r="H292" s="55">
        <f t="shared" si="67"/>
      </c>
    </row>
    <row r="293" spans="1:8" ht="12.75">
      <c r="A293" s="6">
        <v>4</v>
      </c>
      <c r="B293" s="138">
        <v>9</v>
      </c>
      <c r="C293" s="8" t="str">
        <f t="shared" si="65"/>
        <v>Nathan Smith</v>
      </c>
      <c r="D293" s="8" t="str">
        <f t="shared" si="66"/>
        <v>W&amp;M</v>
      </c>
      <c r="E293" s="151">
        <v>37.75</v>
      </c>
      <c r="F293">
        <v>3</v>
      </c>
      <c r="H293" s="55">
        <f t="shared" si="67"/>
      </c>
    </row>
    <row r="294" spans="1:8" ht="12.75">
      <c r="A294" s="6">
        <v>5</v>
      </c>
      <c r="B294" s="138">
        <v>10</v>
      </c>
      <c r="C294" s="8" t="str">
        <f t="shared" si="65"/>
        <v>Elliot Tulley</v>
      </c>
      <c r="D294" s="8" t="str">
        <f t="shared" si="66"/>
        <v>W&amp;M</v>
      </c>
      <c r="E294" s="151">
        <v>33.4</v>
      </c>
      <c r="F294">
        <v>2</v>
      </c>
      <c r="H294" s="55">
        <f t="shared" si="67"/>
      </c>
    </row>
    <row r="295" spans="1:8" ht="12.75">
      <c r="A295" s="6">
        <v>6</v>
      </c>
      <c r="B295" s="138">
        <v>2</v>
      </c>
      <c r="C295" s="8" t="str">
        <f t="shared" si="65"/>
        <v>B Ford</v>
      </c>
      <c r="D295" s="8" t="str">
        <f t="shared" si="66"/>
        <v>BRK</v>
      </c>
      <c r="E295" s="151">
        <v>28.56</v>
      </c>
      <c r="F295">
        <v>1</v>
      </c>
      <c r="H295" s="55">
        <f t="shared" si="67"/>
      </c>
    </row>
    <row r="296" spans="1:10" ht="12.75">
      <c r="A296" s="6">
        <v>7</v>
      </c>
      <c r="B296" s="138"/>
      <c r="C296" s="8">
        <f t="shared" si="65"/>
      </c>
      <c r="D296" s="8">
        <f t="shared" si="66"/>
      </c>
      <c r="E296" s="151"/>
      <c r="H296" s="55">
        <f t="shared" si="67"/>
      </c>
      <c r="J296"/>
    </row>
    <row r="297" spans="1:10" ht="12.75">
      <c r="A297" s="6">
        <v>8</v>
      </c>
      <c r="C297" s="8">
        <f t="shared" si="65"/>
      </c>
      <c r="D297" s="8">
        <f t="shared" si="66"/>
      </c>
      <c r="E297" s="153"/>
      <c r="J297"/>
    </row>
    <row r="298" spans="1:10" ht="12.75">
      <c r="A298" s="6">
        <v>9</v>
      </c>
      <c r="C298" s="8">
        <f t="shared" si="65"/>
      </c>
      <c r="D298" s="8">
        <f t="shared" si="66"/>
      </c>
      <c r="E298" s="153"/>
      <c r="J298"/>
    </row>
    <row r="299" spans="1:10" ht="12.75">
      <c r="A299" s="6">
        <v>10</v>
      </c>
      <c r="C299" s="8">
        <f t="shared" si="65"/>
      </c>
      <c r="D299" s="8">
        <f t="shared" si="66"/>
      </c>
      <c r="E299" s="153"/>
      <c r="J299"/>
    </row>
    <row r="300" spans="1:10" ht="12.75">
      <c r="A300" s="6">
        <v>11</v>
      </c>
      <c r="C300" s="8">
        <f t="shared" si="65"/>
      </c>
      <c r="D300" s="8">
        <f t="shared" si="66"/>
      </c>
      <c r="E300" s="153"/>
      <c r="J300"/>
    </row>
    <row r="301" spans="1:10" ht="12.75">
      <c r="A301" s="6">
        <v>12</v>
      </c>
      <c r="C301" s="8">
        <f t="shared" si="65"/>
      </c>
      <c r="D301" s="8">
        <f t="shared" si="66"/>
      </c>
      <c r="E301" s="153"/>
      <c r="J301"/>
    </row>
  </sheetData>
  <sheetProtection selectLockedCells="1"/>
  <printOptions/>
  <pageMargins left="0" right="0" top="1.4566929133858268" bottom="0" header="0.5118110236220472" footer="0.5118110236220472"/>
  <pageSetup horizontalDpi="300" verticalDpi="300" orientation="landscape" paperSize="9" r:id="rId2"/>
  <headerFooter alignWithMargins="0">
    <oddHeader>&amp;L&amp;G&amp;CBerkshire Schools Track &amp; &amp; Field Championships - June 12 2010, Palmer Park
Intermediate Boys (U17) Full Results</oddHeader>
  </headerFooter>
  <rowBreaks count="4" manualBreakCount="4">
    <brk id="103" max="255" man="1"/>
    <brk id="146" max="255" man="1"/>
    <brk id="221" max="255" man="1"/>
    <brk id="270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AB23"/>
  <sheetViews>
    <sheetView zoomScalePageLayoutView="0" workbookViewId="0" topLeftCell="A1">
      <selection activeCell="V20" sqref="A1:V20"/>
    </sheetView>
  </sheetViews>
  <sheetFormatPr defaultColWidth="9.140625" defaultRowHeight="12.75"/>
  <cols>
    <col min="1" max="1" width="5.421875" style="27" customWidth="1"/>
    <col min="2" max="4" width="5.421875" style="27" bestFit="1" customWidth="1"/>
    <col min="5" max="5" width="8.8515625" style="27" customWidth="1"/>
    <col min="6" max="6" width="3.57421875" style="27" customWidth="1"/>
    <col min="7" max="7" width="5.28125" style="27" customWidth="1"/>
    <col min="8" max="8" width="8.8515625" style="27" customWidth="1"/>
    <col min="9" max="9" width="3.140625" style="27" customWidth="1"/>
    <col min="10" max="10" width="5.421875" style="27" customWidth="1"/>
    <col min="11" max="11" width="8.8515625" style="27" customWidth="1"/>
    <col min="12" max="12" width="3.28125" style="27" customWidth="1"/>
    <col min="13" max="13" width="5.28125" style="27" customWidth="1"/>
    <col min="14" max="14" width="8.8515625" style="27" customWidth="1"/>
    <col min="15" max="15" width="3.00390625" style="27" customWidth="1"/>
    <col min="16" max="16" width="5.7109375" style="27" customWidth="1"/>
    <col min="17" max="17" width="7.8515625" style="27" customWidth="1"/>
    <col min="18" max="18" width="4.421875" style="27" customWidth="1"/>
    <col min="19" max="19" width="5.421875" style="27" customWidth="1"/>
    <col min="20" max="20" width="7.140625" style="27" customWidth="1"/>
    <col min="21" max="21" width="3.7109375" style="27" customWidth="1"/>
    <col min="22" max="22" width="5.421875" style="29" customWidth="1"/>
    <col min="23" max="23" width="3.140625" style="27" customWidth="1"/>
    <col min="24" max="24" width="3.7109375" style="27" customWidth="1"/>
    <col min="25" max="25" width="3.8515625" style="27" customWidth="1"/>
    <col min="26" max="26" width="3.7109375" style="27" customWidth="1"/>
    <col min="27" max="27" width="4.00390625" style="27" customWidth="1"/>
    <col min="28" max="28" width="3.140625" style="27" customWidth="1"/>
  </cols>
  <sheetData>
    <row r="1" spans="1:23" ht="20.25">
      <c r="A1" s="25" t="s">
        <v>126</v>
      </c>
      <c r="B1" s="26"/>
      <c r="C1" s="26"/>
      <c r="D1" s="26"/>
      <c r="G1" s="28"/>
      <c r="V1" s="37"/>
      <c r="W1" s="124" t="s">
        <v>17</v>
      </c>
    </row>
    <row r="2" spans="1:28" s="14" customFormat="1" ht="13.5">
      <c r="A2" s="30" t="s">
        <v>15</v>
      </c>
      <c r="B2" s="31" t="s">
        <v>6</v>
      </c>
      <c r="C2" s="31" t="s">
        <v>7</v>
      </c>
      <c r="D2" s="31" t="s">
        <v>8</v>
      </c>
      <c r="E2" s="32" t="s">
        <v>9</v>
      </c>
      <c r="F2" s="30"/>
      <c r="G2" s="32"/>
      <c r="H2" s="32" t="s">
        <v>10</v>
      </c>
      <c r="I2" s="30"/>
      <c r="J2" s="30"/>
      <c r="K2" s="30" t="s">
        <v>11</v>
      </c>
      <c r="L2" s="30"/>
      <c r="M2" s="30"/>
      <c r="N2" s="32" t="s">
        <v>12</v>
      </c>
      <c r="O2" s="30"/>
      <c r="P2" s="32"/>
      <c r="Q2" s="32" t="s">
        <v>13</v>
      </c>
      <c r="R2" s="30"/>
      <c r="S2" s="30"/>
      <c r="T2" s="30" t="s">
        <v>14</v>
      </c>
      <c r="U2" s="30"/>
      <c r="V2" s="123"/>
      <c r="W2" s="125" t="s">
        <v>16</v>
      </c>
      <c r="X2" s="33" t="s">
        <v>18</v>
      </c>
      <c r="Y2" s="33" t="s">
        <v>19</v>
      </c>
      <c r="Z2" s="33" t="s">
        <v>20</v>
      </c>
      <c r="AA2" s="33" t="s">
        <v>21</v>
      </c>
      <c r="AB2" s="33" t="s">
        <v>22</v>
      </c>
    </row>
    <row r="3" spans="1:28" ht="16.5" customHeight="1">
      <c r="A3" s="33" t="s">
        <v>65</v>
      </c>
      <c r="B3" s="34">
        <v>10.9</v>
      </c>
      <c r="C3" s="34">
        <v>11.2</v>
      </c>
      <c r="D3" s="34">
        <v>11</v>
      </c>
      <c r="E3" s="48" t="str">
        <f>'ib'!$C87</f>
        <v>M Tonode</v>
      </c>
      <c r="F3" s="48" t="str">
        <f>'ib'!$D87</f>
        <v>BRK</v>
      </c>
      <c r="G3" s="48">
        <f>'ib'!$E87</f>
        <v>11.5</v>
      </c>
      <c r="H3" s="48" t="str">
        <f>'ib'!$C88</f>
        <v>J Johnston</v>
      </c>
      <c r="I3" s="48" t="str">
        <f>'ib'!$D88</f>
        <v>WOK</v>
      </c>
      <c r="J3" s="48">
        <f>'ib'!$E88</f>
        <v>11.5</v>
      </c>
      <c r="K3" s="48" t="str">
        <f>'ib'!$C89</f>
        <v>T Campbell</v>
      </c>
      <c r="L3" s="48" t="str">
        <f>'ib'!$D89</f>
        <v>WB</v>
      </c>
      <c r="M3" s="48">
        <f>'ib'!$E89</f>
        <v>11.7</v>
      </c>
      <c r="N3" s="48" t="str">
        <f>'ib'!$C90</f>
        <v>Patrick Nwoga</v>
      </c>
      <c r="O3" s="48" t="str">
        <f>'ib'!$D90</f>
        <v>SL</v>
      </c>
      <c r="P3" s="48">
        <f>'ib'!$E90</f>
        <v>12</v>
      </c>
      <c r="Q3" s="48" t="str">
        <f>'ib'!$C91</f>
        <v>Harry Clarke</v>
      </c>
      <c r="R3" s="48" t="str">
        <f>'ib'!$D91</f>
        <v>RDG</v>
      </c>
      <c r="S3" s="48">
        <f>'ib'!$E91</f>
        <v>12.1</v>
      </c>
      <c r="T3" s="48" t="str">
        <f>'ib'!$C92</f>
        <v>M Reyes</v>
      </c>
      <c r="U3" s="48" t="str">
        <f>'ib'!$D92</f>
        <v>BRK</v>
      </c>
      <c r="V3" s="48">
        <f>'ib'!$E92</f>
        <v>12.2</v>
      </c>
      <c r="W3" s="125">
        <f>IF($F3="wb",6,0)+IF($I3="wb",5,0)+IF($L3="wb",4,0)+IF($O3="wb",3,0)+IF($R3="wb",2,0)+IF($U3="wb",1,0)</f>
        <v>4</v>
      </c>
      <c r="X3" s="33">
        <f>IF($F3="rdg",6,0)+IF($I3="rdg",5,0)+IF($L3="rdg",4,0)+IF($O3="rdg",3,0)+IF($R3="rdg",2,0)+IF($U3="rdg",1,0)</f>
        <v>2</v>
      </c>
      <c r="Y3" s="33">
        <f>IF($F3="wok",6,0)+IF($I3="wok",5,0)+IF($L3="wok",4,0)+IF($O3="wok",3,0)+IF($R3="wok",2,0)+IF($U3="wok",1,0)</f>
        <v>5</v>
      </c>
      <c r="Z3" s="33">
        <f>IF($F3="brk",6,0)+IF($I3="brk",5,0)+IF($L3="brk",4,0)+IF($O3="brk",3,0)+IF($R3="brk",2,0)+IF($U3="brk",1,0)</f>
        <v>7</v>
      </c>
      <c r="AA3" s="33">
        <f>IF($F3="w&amp;m",6,0)+IF($I3="w&amp;m",5,0)+IF($L3="w&amp;m",4,0)+IF($O3="w&amp;m",3,0)+IF($R3="w&amp;m",2,0)+IF($U3="w&amp;m",1,0)</f>
        <v>0</v>
      </c>
      <c r="AB3" s="33">
        <f>IF($F3="sl",6,0)+IF($I3="sl",5,0)+IF($L3="sl",4,0)+IF($O3="sl",3,0)+IF($R3="sl",2,0)+IF($U3="sl",1,0)</f>
        <v>3</v>
      </c>
    </row>
    <row r="4" spans="1:28" ht="16.5" customHeight="1">
      <c r="A4" s="33" t="s">
        <v>5</v>
      </c>
      <c r="B4" s="34">
        <v>22.4</v>
      </c>
      <c r="C4" s="34">
        <v>22.8</v>
      </c>
      <c r="D4" s="34">
        <v>22.2</v>
      </c>
      <c r="E4" s="48" t="str">
        <f>'ib'!$C151</f>
        <v>Matthew Buckner</v>
      </c>
      <c r="F4" s="48" t="str">
        <f>'ib'!$D151</f>
        <v>WOK</v>
      </c>
      <c r="G4" s="48">
        <f>'ib'!$E151</f>
        <v>23.2</v>
      </c>
      <c r="H4" s="48" t="str">
        <f>'ib'!$C152</f>
        <v>J Millar</v>
      </c>
      <c r="I4" s="48" t="str">
        <f>'ib'!$D152</f>
        <v>WOK</v>
      </c>
      <c r="J4" s="48">
        <f>'ib'!$E152</f>
        <v>24.1</v>
      </c>
      <c r="K4" s="48" t="str">
        <f>'ib'!$C153</f>
        <v>M Henry</v>
      </c>
      <c r="L4" s="48" t="str">
        <f>'ib'!$D153</f>
        <v>RDG</v>
      </c>
      <c r="M4" s="48">
        <f>'ib'!$E153</f>
        <v>24.7</v>
      </c>
      <c r="N4" s="48" t="str">
        <f>'ib'!$C154</f>
        <v>Orlando Bell</v>
      </c>
      <c r="O4" s="48" t="str">
        <f>'ib'!$D154</f>
        <v>SL</v>
      </c>
      <c r="P4" s="48">
        <f>'ib'!$E154</f>
        <v>24.7</v>
      </c>
      <c r="Q4" s="48" t="str">
        <f>'ib'!$C155</f>
        <v>L Parry</v>
      </c>
      <c r="R4" s="48" t="str">
        <f>'ib'!$D155</f>
        <v>WB</v>
      </c>
      <c r="S4" s="48">
        <f>'ib'!$E155</f>
        <v>25.9</v>
      </c>
      <c r="T4" s="48">
        <f>'ib'!$C156</f>
      </c>
      <c r="U4" s="48">
        <f>'ib'!$D156</f>
      </c>
      <c r="V4" s="48">
        <f>'ib'!$E156</f>
        <v>0</v>
      </c>
      <c r="W4" s="125">
        <f aca="true" t="shared" si="0" ref="W4:W21">IF($F4="wb",6,0)+IF($I4="wb",5,0)+IF($L4="wb",4,0)+IF($O4="wb",3,0)+IF($R4="wb",2,0)+IF($U4="wb",1,0)</f>
        <v>2</v>
      </c>
      <c r="X4" s="33">
        <f aca="true" t="shared" si="1" ref="X4:X21">IF($F4="rdg",6,0)+IF($I4="rdg",5,0)+IF($L4="rdg",4,0)+IF($O4="rdg",3,0)+IF($R4="rdg",2,0)+IF($U4="rdg",1,0)</f>
        <v>4</v>
      </c>
      <c r="Y4" s="33">
        <f aca="true" t="shared" si="2" ref="Y4:Y21">IF($F4="wok",6,0)+IF($I4="wok",5,0)+IF($L4="wok",4,0)+IF($O4="wok",3,0)+IF($R4="wok",2,0)+IF($U4="wok",1,0)</f>
        <v>11</v>
      </c>
      <c r="Z4" s="33">
        <f aca="true" t="shared" si="3" ref="Z4:Z21">IF($F4="brk",6,0)+IF($I4="brk",5,0)+IF($L4="brk",4,0)+IF($O4="brk",3,0)+IF($R4="brk",2,0)+IF($U4="brk",1,0)</f>
        <v>0</v>
      </c>
      <c r="AA4" s="33">
        <f aca="true" t="shared" si="4" ref="AA4:AA21">IF($F4="w&amp;m",6,0)+IF($I4="w&amp;m",5,0)+IF($L4="w&amp;m",4,0)+IF($O4="w&amp;m",3,0)+IF($R4="w&amp;m",2,0)+IF($U4="w&amp;m",1,0)</f>
        <v>0</v>
      </c>
      <c r="AB4" s="33">
        <f aca="true" t="shared" si="5" ref="AB4:AB21">IF($F4="sl",6,0)+IF($I4="sl",5,0)+IF($L4="sl",4,0)+IF($O4="sl",3,0)+IF($R4="sl",2,0)+IF($U4="sl",1,0)</f>
        <v>3</v>
      </c>
    </row>
    <row r="5" spans="1:28" ht="16.5" customHeight="1">
      <c r="A5" s="33" t="s">
        <v>76</v>
      </c>
      <c r="B5" s="34">
        <v>48.7</v>
      </c>
      <c r="C5" s="34">
        <v>51.1</v>
      </c>
      <c r="D5" s="34">
        <v>49.5</v>
      </c>
      <c r="E5" s="48" t="str">
        <f>'ib'!$C125</f>
        <v>Harry North</v>
      </c>
      <c r="F5" s="48" t="str">
        <f>'ib'!$D125</f>
        <v>RDG</v>
      </c>
      <c r="G5" s="48">
        <f>'ib'!$E125</f>
        <v>53.6</v>
      </c>
      <c r="H5" s="48" t="str">
        <f>'ib'!$C126</f>
        <v>Rory Naylor</v>
      </c>
      <c r="I5" s="48" t="str">
        <f>'ib'!$D126</f>
        <v>W&amp;M</v>
      </c>
      <c r="J5" s="48">
        <f>'ib'!$E126</f>
        <v>54.7</v>
      </c>
      <c r="K5" s="48" t="str">
        <f>'ib'!$C127</f>
        <v>Ridwaan Omar</v>
      </c>
      <c r="L5" s="48" t="str">
        <f>'ib'!$D127</f>
        <v>SL</v>
      </c>
      <c r="M5" s="48">
        <f>'ib'!$E127</f>
        <v>54.8</v>
      </c>
      <c r="N5" s="48" t="str">
        <f>'ib'!$C128</f>
        <v>T Atkins</v>
      </c>
      <c r="O5" s="48" t="str">
        <f>'ib'!$D128</f>
        <v>WB</v>
      </c>
      <c r="P5" s="48">
        <f>'ib'!$E128</f>
        <v>55.2</v>
      </c>
      <c r="Q5" s="48" t="str">
        <f>'ib'!$C129</f>
        <v>Ethan Baines-Gillespie</v>
      </c>
      <c r="R5" s="48" t="str">
        <f>'ib'!$D129</f>
        <v>RDG</v>
      </c>
      <c r="S5" s="48">
        <f>'ib'!$E129</f>
        <v>56.1</v>
      </c>
      <c r="T5" s="48">
        <f>'ib'!$C130</f>
      </c>
      <c r="U5" s="48">
        <f>'ib'!$D130</f>
      </c>
      <c r="V5" s="48">
        <f>'ib'!$E130</f>
        <v>0</v>
      </c>
      <c r="W5" s="125">
        <f t="shared" si="0"/>
        <v>3</v>
      </c>
      <c r="X5" s="33">
        <f t="shared" si="1"/>
        <v>8</v>
      </c>
      <c r="Y5" s="33">
        <f t="shared" si="2"/>
        <v>0</v>
      </c>
      <c r="Z5" s="33">
        <f t="shared" si="3"/>
        <v>0</v>
      </c>
      <c r="AA5" s="33">
        <f t="shared" si="4"/>
        <v>5</v>
      </c>
      <c r="AB5" s="33">
        <f t="shared" si="5"/>
        <v>4</v>
      </c>
    </row>
    <row r="6" spans="1:28" ht="16.5" customHeight="1">
      <c r="A6" s="33" t="s">
        <v>66</v>
      </c>
      <c r="B6" s="56">
        <v>0.0013275462962962963</v>
      </c>
      <c r="C6" s="56">
        <v>0.001365740740740741</v>
      </c>
      <c r="D6" s="56">
        <v>0.0013425925925925925</v>
      </c>
      <c r="E6" s="48" t="str">
        <f>'ib'!$C33</f>
        <v>Harry Digby</v>
      </c>
      <c r="F6" s="48" t="str">
        <f>'ib'!$D33</f>
        <v>BRK</v>
      </c>
      <c r="G6" s="317">
        <f>'ib'!$E33</f>
        <v>0.0013495370370370371</v>
      </c>
      <c r="H6" s="48" t="str">
        <f>'ib'!$C34</f>
        <v>Eddie Steveni</v>
      </c>
      <c r="I6" s="48" t="str">
        <f>'ib'!$D34</f>
        <v>RDG</v>
      </c>
      <c r="J6" s="50">
        <f>'ib'!$E34</f>
        <v>0.001392361111111111</v>
      </c>
      <c r="K6" s="48" t="str">
        <f>'ib'!$C35</f>
        <v>Oliver Hall</v>
      </c>
      <c r="L6" s="48" t="str">
        <f>'ib'!$D35</f>
        <v>BRK</v>
      </c>
      <c r="M6" s="50">
        <f>'ib'!$E35</f>
        <v>0.001443287037037037</v>
      </c>
      <c r="N6" s="127" t="str">
        <f>'ib'!$C36</f>
        <v>Sammy March</v>
      </c>
      <c r="O6" s="48" t="str">
        <f>'ib'!$D36</f>
        <v>W&amp;M</v>
      </c>
      <c r="P6" s="50">
        <f>'ib'!$E36</f>
        <v>0.0015000000000000002</v>
      </c>
      <c r="Q6" s="48" t="str">
        <f>'ib'!$C37</f>
        <v>T Sinfield</v>
      </c>
      <c r="R6" s="48" t="str">
        <f>'ib'!$D37</f>
        <v>WOK</v>
      </c>
      <c r="S6" s="50">
        <f>'ib'!$E37</f>
        <v>0.0015185185185185182</v>
      </c>
      <c r="T6" s="48" t="str">
        <f>'ib'!$C38</f>
        <v>Morrison Cleaver</v>
      </c>
      <c r="U6" s="48" t="str">
        <f>'ib'!$D38</f>
        <v>SL</v>
      </c>
      <c r="V6" s="50">
        <f>'ib'!$E38</f>
        <v>0.001519675925925926</v>
      </c>
      <c r="W6" s="125">
        <f t="shared" si="0"/>
        <v>0</v>
      </c>
      <c r="X6" s="33">
        <f t="shared" si="1"/>
        <v>5</v>
      </c>
      <c r="Y6" s="33">
        <f t="shared" si="2"/>
        <v>2</v>
      </c>
      <c r="Z6" s="33">
        <f t="shared" si="3"/>
        <v>10</v>
      </c>
      <c r="AA6" s="33">
        <f t="shared" si="4"/>
        <v>3</v>
      </c>
      <c r="AB6" s="33">
        <f t="shared" si="5"/>
        <v>1</v>
      </c>
    </row>
    <row r="7" spans="1:28" ht="16.5" customHeight="1">
      <c r="A7" s="33" t="s">
        <v>67</v>
      </c>
      <c r="B7" s="56">
        <v>0.002829861111111111</v>
      </c>
      <c r="C7" s="56">
        <v>0.0028587962962962963</v>
      </c>
      <c r="D7" s="56">
        <v>0.0028125</v>
      </c>
      <c r="E7" s="48" t="str">
        <f>'ib'!$C135</f>
        <v>Joel Lange</v>
      </c>
      <c r="F7" s="48" t="str">
        <f>'ib'!$D135</f>
        <v>W&amp;M</v>
      </c>
      <c r="G7" s="50">
        <f>'ib'!$E135</f>
        <v>0.003054398148148148</v>
      </c>
      <c r="H7" s="48" t="str">
        <f>'ib'!$C136</f>
        <v>J McLaughlin</v>
      </c>
      <c r="I7" s="48" t="str">
        <f>'ib'!$D136</f>
        <v>WB</v>
      </c>
      <c r="J7" s="50">
        <f>'ib'!$E136</f>
        <v>0.003064814814814815</v>
      </c>
      <c r="K7" s="48" t="str">
        <f>'ib'!$C137</f>
        <v>H Middleton</v>
      </c>
      <c r="L7" s="48" t="str">
        <f>'ib'!$D137</f>
        <v>WOK</v>
      </c>
      <c r="M7" s="50">
        <f>'ib'!$E137</f>
        <v>0.0031388888888888885</v>
      </c>
      <c r="N7" s="48" t="str">
        <f>'ib'!$C138</f>
        <v>Max Borgnis</v>
      </c>
      <c r="O7" s="48" t="str">
        <f>'ib'!$D138</f>
        <v>BRK</v>
      </c>
      <c r="P7" s="50">
        <f>'ib'!$E138</f>
        <v>0.0031562499999999998</v>
      </c>
      <c r="Q7" s="48" t="str">
        <f>'ib'!$C139</f>
        <v>Edouard Long</v>
      </c>
      <c r="R7" s="48" t="str">
        <f>'ib'!$D139</f>
        <v>SL</v>
      </c>
      <c r="S7" s="50">
        <f>'ib'!$E139</f>
        <v>0.003166666666666667</v>
      </c>
      <c r="T7" s="48" t="str">
        <f>'ib'!$C140</f>
        <v>Adam Gambrill</v>
      </c>
      <c r="U7" s="48" t="str">
        <f>'ib'!$D140</f>
        <v>W&amp;M</v>
      </c>
      <c r="V7" s="50">
        <f>'ib'!$E140</f>
        <v>0.003194444444444444</v>
      </c>
      <c r="W7" s="125">
        <f t="shared" si="0"/>
        <v>5</v>
      </c>
      <c r="X7" s="33">
        <f t="shared" si="1"/>
        <v>0</v>
      </c>
      <c r="Y7" s="33">
        <f t="shared" si="2"/>
        <v>4</v>
      </c>
      <c r="Z7" s="33">
        <f t="shared" si="3"/>
        <v>3</v>
      </c>
      <c r="AA7" s="33">
        <f t="shared" si="4"/>
        <v>7</v>
      </c>
      <c r="AB7" s="33">
        <f t="shared" si="5"/>
        <v>2</v>
      </c>
    </row>
    <row r="8" spans="1:28" ht="16.5" customHeight="1">
      <c r="A8" s="33" t="s">
        <v>82</v>
      </c>
      <c r="B8" s="56">
        <v>0.006039351851851852</v>
      </c>
      <c r="C8" s="56">
        <v>0.006238425925925925</v>
      </c>
      <c r="D8" s="56">
        <v>0.0061342592592592594</v>
      </c>
      <c r="E8" s="48">
        <f>'ib'!$C171</f>
      </c>
      <c r="F8" s="48">
        <f>'ib'!$D171</f>
      </c>
      <c r="G8" s="50">
        <f>'ib'!$E171</f>
        <v>0</v>
      </c>
      <c r="H8" s="48">
        <f>'ib'!$C172</f>
      </c>
      <c r="I8" s="48">
        <f>'ib'!$D172</f>
      </c>
      <c r="J8" s="50">
        <f>'ib'!$E172</f>
        <v>0</v>
      </c>
      <c r="K8" s="48">
        <f>'ib'!$C173</f>
      </c>
      <c r="L8" s="48">
        <f>'ib'!$D173</f>
      </c>
      <c r="M8" s="50">
        <f>'ib'!$E173</f>
        <v>0</v>
      </c>
      <c r="N8" s="48">
        <f>'ib'!$C174</f>
      </c>
      <c r="O8" s="48">
        <f>'ib'!$D174</f>
      </c>
      <c r="P8" s="50">
        <f>'ib'!$E174</f>
        <v>0</v>
      </c>
      <c r="Q8" s="48">
        <f>'ib'!$C175</f>
      </c>
      <c r="R8" s="48">
        <f>'ib'!$D175</f>
      </c>
      <c r="S8" s="50">
        <f>'ib'!$E175</f>
        <v>0</v>
      </c>
      <c r="T8" s="48">
        <f>'ib'!$C176</f>
      </c>
      <c r="U8" s="48">
        <f>'ib'!$D176</f>
      </c>
      <c r="V8" s="50">
        <f>'ib'!$E176</f>
        <v>0</v>
      </c>
      <c r="W8" s="125">
        <f t="shared" si="0"/>
        <v>0</v>
      </c>
      <c r="X8" s="33">
        <f t="shared" si="1"/>
        <v>0</v>
      </c>
      <c r="Y8" s="33">
        <f t="shared" si="2"/>
        <v>0</v>
      </c>
      <c r="Z8" s="33">
        <f t="shared" si="3"/>
        <v>0</v>
      </c>
      <c r="AA8" s="33">
        <f t="shared" si="4"/>
        <v>0</v>
      </c>
      <c r="AB8" s="33">
        <f t="shared" si="5"/>
        <v>0</v>
      </c>
    </row>
    <row r="9" spans="1:28" ht="16.5" customHeight="1">
      <c r="A9" s="33" t="s">
        <v>84</v>
      </c>
      <c r="B9" s="34">
        <v>13</v>
      </c>
      <c r="C9" s="34">
        <v>14</v>
      </c>
      <c r="D9" s="34">
        <v>13.5</v>
      </c>
      <c r="E9" s="48" t="str">
        <f>'ib'!$C97</f>
        <v>Josh Zeller</v>
      </c>
      <c r="F9" s="48" t="str">
        <f>'ib'!$D97</f>
        <v>WOK</v>
      </c>
      <c r="G9" s="321">
        <f>'ib'!$E97</f>
        <v>13.4</v>
      </c>
      <c r="H9" s="48" t="str">
        <f>'ib'!$C98</f>
        <v>Alexander Farquhar</v>
      </c>
      <c r="I9" s="48" t="str">
        <f>'ib'!$D98</f>
        <v>SL</v>
      </c>
      <c r="J9" s="48">
        <f>'ib'!$E98</f>
        <v>14.1</v>
      </c>
      <c r="K9" s="48" t="str">
        <f>'ib'!$C99</f>
        <v>A Sweeting</v>
      </c>
      <c r="L9" s="48" t="str">
        <f>'ib'!$D99</f>
        <v>WB</v>
      </c>
      <c r="M9" s="48">
        <f>'ib'!$E99</f>
        <v>14.3</v>
      </c>
      <c r="N9" s="48" t="str">
        <f>'ib'!$C100</f>
        <v>Hugo Bright</v>
      </c>
      <c r="O9" s="48" t="str">
        <f>'ib'!$D100</f>
        <v>WOK</v>
      </c>
      <c r="P9" s="48">
        <f>'ib'!$E100</f>
        <v>15.1</v>
      </c>
      <c r="Q9" s="48" t="str">
        <f>'ib'!$C101</f>
        <v>Tom Beale</v>
      </c>
      <c r="R9" s="48" t="str">
        <f>'ib'!$D101</f>
        <v>SL</v>
      </c>
      <c r="S9" s="48">
        <f>'ib'!$E101</f>
        <v>15.5</v>
      </c>
      <c r="T9" s="48" t="str">
        <f>'ib'!$C102</f>
        <v>A Swain</v>
      </c>
      <c r="U9" s="48" t="str">
        <f>'ib'!$D102</f>
        <v>WB</v>
      </c>
      <c r="V9" s="48">
        <f>'ib'!$E102</f>
        <v>16.3</v>
      </c>
      <c r="W9" s="125">
        <f t="shared" si="0"/>
        <v>5</v>
      </c>
      <c r="X9" s="33">
        <f t="shared" si="1"/>
        <v>0</v>
      </c>
      <c r="Y9" s="33">
        <f t="shared" si="2"/>
        <v>9</v>
      </c>
      <c r="Z9" s="33">
        <f t="shared" si="3"/>
        <v>0</v>
      </c>
      <c r="AA9" s="33">
        <f t="shared" si="4"/>
        <v>0</v>
      </c>
      <c r="AB9" s="33">
        <f t="shared" si="5"/>
        <v>7</v>
      </c>
    </row>
    <row r="10" spans="1:28" ht="16.5" customHeight="1">
      <c r="A10" s="33" t="s">
        <v>85</v>
      </c>
      <c r="B10" s="34">
        <v>55.2</v>
      </c>
      <c r="C10" s="34">
        <v>58</v>
      </c>
      <c r="D10" s="34">
        <v>56.2</v>
      </c>
      <c r="E10" s="48" t="str">
        <f>'ib'!$C5</f>
        <v>C McWilliam</v>
      </c>
      <c r="F10" s="48" t="str">
        <f>'ib'!$D5</f>
        <v>BRK</v>
      </c>
      <c r="G10" s="48">
        <f>'ib'!$E5</f>
        <v>65.7</v>
      </c>
      <c r="H10" s="33">
        <f>'ib'!$C6</f>
      </c>
      <c r="I10" s="33">
        <f>'ib'!$D6</f>
      </c>
      <c r="J10" s="48">
        <f>'ib'!$E6</f>
        <v>0</v>
      </c>
      <c r="K10" s="48">
        <f>'ib'!$C7</f>
      </c>
      <c r="L10" s="48">
        <f>'ib'!$D7</f>
      </c>
      <c r="M10" s="48">
        <f>'ib'!$E7</f>
        <v>0</v>
      </c>
      <c r="N10" s="48">
        <f>'ib'!$C8</f>
      </c>
      <c r="O10" s="48">
        <f>'ib'!$D8</f>
      </c>
      <c r="P10" s="48">
        <f>'ib'!$E8</f>
        <v>0</v>
      </c>
      <c r="Q10" s="48">
        <f>'ib'!$C9</f>
      </c>
      <c r="R10" s="48">
        <f>'ib'!$D9</f>
      </c>
      <c r="S10" s="48">
        <f>'ib'!$E9</f>
        <v>0</v>
      </c>
      <c r="T10" s="48">
        <f>'ib'!$C10</f>
      </c>
      <c r="U10" s="48">
        <f>'ib'!$D10</f>
      </c>
      <c r="V10" s="48">
        <f>'ib'!$E10</f>
        <v>0</v>
      </c>
      <c r="W10" s="125">
        <f t="shared" si="0"/>
        <v>0</v>
      </c>
      <c r="X10" s="33">
        <f t="shared" si="1"/>
        <v>0</v>
      </c>
      <c r="Y10" s="33">
        <f t="shared" si="2"/>
        <v>0</v>
      </c>
      <c r="Z10" s="33">
        <f t="shared" si="3"/>
        <v>6</v>
      </c>
      <c r="AA10" s="33">
        <f t="shared" si="4"/>
        <v>0</v>
      </c>
      <c r="AB10" s="33">
        <f t="shared" si="5"/>
        <v>0</v>
      </c>
    </row>
    <row r="11" spans="1:28" ht="16.5" customHeight="1">
      <c r="A11" s="33" t="s">
        <v>113</v>
      </c>
      <c r="B11" s="56">
        <v>0.0029803240740740745</v>
      </c>
      <c r="C11" s="56">
        <v>0.003194444444444444</v>
      </c>
      <c r="D11" s="56">
        <v>0.003125</v>
      </c>
      <c r="E11" s="48" t="str">
        <f>'ib'!$C161</f>
        <v>Max Cooper</v>
      </c>
      <c r="F11" s="48" t="str">
        <f>'ib'!$D161</f>
        <v>RDG</v>
      </c>
      <c r="G11" s="50">
        <f>'ib'!$E161</f>
        <v>0.003221064814814815</v>
      </c>
      <c r="H11" s="48" t="str">
        <f>'ib'!$C162</f>
        <v>Ben Wills</v>
      </c>
      <c r="I11" s="48" t="str">
        <f>'ib'!$D162</f>
        <v>WOK</v>
      </c>
      <c r="J11" s="50">
        <f>'ib'!$E162</f>
        <v>0.003232638888888889</v>
      </c>
      <c r="K11" s="48" t="str">
        <f>'ib'!$C163</f>
        <v>Shaun Hudson</v>
      </c>
      <c r="L11" s="48" t="str">
        <f>'ib'!$D163</f>
        <v>WOK</v>
      </c>
      <c r="M11" s="50">
        <f>'ib'!$E163</f>
        <v>0.003233796296296296</v>
      </c>
      <c r="N11" s="48" t="str">
        <f>'ib'!$C164</f>
        <v>Oliver McArthur</v>
      </c>
      <c r="O11" s="48" t="str">
        <f>'ib'!$D164</f>
        <v>W&amp;M</v>
      </c>
      <c r="P11" s="50">
        <f>'ib'!$E164</f>
        <v>0.0032349537037037034</v>
      </c>
      <c r="Q11" s="48">
        <f>'ib'!$C165</f>
      </c>
      <c r="R11" s="48">
        <f>'ib'!$D165</f>
      </c>
      <c r="S11" s="50">
        <f>'ib'!$E165</f>
        <v>0</v>
      </c>
      <c r="T11" s="48">
        <f>'ib'!$C166</f>
      </c>
      <c r="U11" s="48">
        <f>'ib'!$D166</f>
      </c>
      <c r="V11" s="50">
        <f>'ib'!$E166</f>
        <v>0</v>
      </c>
      <c r="W11" s="125">
        <f t="shared" si="0"/>
        <v>0</v>
      </c>
      <c r="X11" s="33">
        <f t="shared" si="1"/>
        <v>6</v>
      </c>
      <c r="Y11" s="33">
        <f t="shared" si="2"/>
        <v>9</v>
      </c>
      <c r="Z11" s="33">
        <f t="shared" si="3"/>
        <v>0</v>
      </c>
      <c r="AA11" s="33">
        <f t="shared" si="4"/>
        <v>3</v>
      </c>
      <c r="AB11" s="33">
        <f t="shared" si="5"/>
        <v>0</v>
      </c>
    </row>
    <row r="12" spans="1:28" ht="16.5" customHeight="1">
      <c r="A12" s="33"/>
      <c r="B12" s="34"/>
      <c r="C12" s="34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26"/>
      <c r="W12" s="125"/>
      <c r="X12" s="33"/>
      <c r="Y12" s="33"/>
      <c r="Z12" s="33"/>
      <c r="AA12" s="33"/>
      <c r="AB12" s="33"/>
    </row>
    <row r="13" spans="1:28" ht="16.5" customHeight="1">
      <c r="A13" s="36" t="s">
        <v>72</v>
      </c>
      <c r="B13" s="35">
        <v>2</v>
      </c>
      <c r="C13" s="35">
        <v>1.92</v>
      </c>
      <c r="D13" s="35">
        <v>1.98</v>
      </c>
      <c r="E13" s="48" t="str">
        <f>'ib'!$C199</f>
        <v>Harrison Thorne</v>
      </c>
      <c r="F13" s="48" t="str">
        <f>'ib'!$D199</f>
        <v>W&amp;M</v>
      </c>
      <c r="G13" s="36">
        <f>'ib'!$E199</f>
        <v>1.83</v>
      </c>
      <c r="H13" s="36" t="str">
        <f>'ib'!$C200</f>
        <v>Stuart Bladen</v>
      </c>
      <c r="I13" s="36" t="str">
        <f>'ib'!$D200</f>
        <v>WB</v>
      </c>
      <c r="J13" s="36">
        <f>'ib'!$E200</f>
        <v>1.8</v>
      </c>
      <c r="K13" s="36" t="str">
        <f>'ib'!$C201</f>
        <v>Kola Motaja</v>
      </c>
      <c r="L13" s="36" t="str">
        <f>'ib'!$D201</f>
        <v>W&amp;M</v>
      </c>
      <c r="M13" s="36">
        <f>'ib'!$E201</f>
        <v>1.6</v>
      </c>
      <c r="N13" s="36" t="str">
        <f>'ib'!$C202</f>
        <v>D Animashaun</v>
      </c>
      <c r="O13" s="36" t="str">
        <f>'ib'!$D202</f>
        <v>WOK</v>
      </c>
      <c r="P13" s="36">
        <f>'ib'!$E202</f>
        <v>1.55</v>
      </c>
      <c r="Q13" s="36" t="str">
        <f>'ib'!$C203</f>
        <v>G Hopes</v>
      </c>
      <c r="R13" s="36" t="str">
        <f>'ib'!$D203</f>
        <v>RDG</v>
      </c>
      <c r="S13" s="36">
        <f>'ib'!$E203</f>
        <v>1.55</v>
      </c>
      <c r="T13" s="36" t="str">
        <f>'ib'!$C204</f>
        <v>Ojebo Adoh</v>
      </c>
      <c r="U13" s="36" t="str">
        <f>'ib'!$D204</f>
        <v>RDG</v>
      </c>
      <c r="V13" s="36">
        <f>'ib'!$E204</f>
        <v>1.55</v>
      </c>
      <c r="W13" s="125">
        <f t="shared" si="0"/>
        <v>5</v>
      </c>
      <c r="X13" s="33">
        <f t="shared" si="1"/>
        <v>3</v>
      </c>
      <c r="Y13" s="33">
        <f t="shared" si="2"/>
        <v>3</v>
      </c>
      <c r="Z13" s="33">
        <f t="shared" si="3"/>
        <v>0</v>
      </c>
      <c r="AA13" s="33">
        <f t="shared" si="4"/>
        <v>10</v>
      </c>
      <c r="AB13" s="33">
        <f t="shared" si="5"/>
        <v>0</v>
      </c>
    </row>
    <row r="14" spans="1:28" ht="16.5" customHeight="1">
      <c r="A14" s="36" t="s">
        <v>69</v>
      </c>
      <c r="B14" s="35">
        <v>6.95</v>
      </c>
      <c r="C14" s="35">
        <v>6.4</v>
      </c>
      <c r="D14" s="35">
        <v>6.6</v>
      </c>
      <c r="E14" s="48" t="str">
        <f>'ib'!$C241</f>
        <v>J Myers</v>
      </c>
      <c r="F14" s="48" t="str">
        <f>'ib'!$D241</f>
        <v>WOK</v>
      </c>
      <c r="G14" s="36">
        <f>'ib'!$E241</f>
        <v>5.58</v>
      </c>
      <c r="H14" s="36" t="str">
        <f>'ib'!$C242</f>
        <v>M Maynard</v>
      </c>
      <c r="I14" s="36" t="str">
        <f>'ib'!$D242</f>
        <v>WB</v>
      </c>
      <c r="J14" s="36">
        <f>'ib'!$E242</f>
        <v>5.55</v>
      </c>
      <c r="K14" s="36" t="str">
        <f>'ib'!$C243</f>
        <v>Khviwalid Shabban</v>
      </c>
      <c r="L14" s="36" t="str">
        <f>'ib'!$D243</f>
        <v>W&amp;M</v>
      </c>
      <c r="M14" s="36">
        <f>'ib'!$E243</f>
        <v>5.54</v>
      </c>
      <c r="N14" s="36" t="str">
        <f>'ib'!$C244</f>
        <v>C Castle</v>
      </c>
      <c r="O14" s="36" t="str">
        <f>'ib'!$D244</f>
        <v>BRK</v>
      </c>
      <c r="P14" s="36">
        <f>'ib'!$E244</f>
        <v>4.83</v>
      </c>
      <c r="Q14" s="36" t="str">
        <f>'ib'!$C245</f>
        <v>Oliver Norley</v>
      </c>
      <c r="R14" s="36" t="str">
        <f>'ib'!$D245</f>
        <v>W&amp;M</v>
      </c>
      <c r="S14" s="36">
        <f>'ib'!$E245</f>
        <v>4.51</v>
      </c>
      <c r="T14" s="36">
        <f>'ib'!$C246</f>
      </c>
      <c r="U14" s="36">
        <f>'ib'!$D246</f>
      </c>
      <c r="V14" s="36">
        <f>'ib'!$E246</f>
        <v>0</v>
      </c>
      <c r="W14" s="125">
        <f t="shared" si="0"/>
        <v>5</v>
      </c>
      <c r="X14" s="33">
        <f t="shared" si="1"/>
        <v>0</v>
      </c>
      <c r="Y14" s="33">
        <f t="shared" si="2"/>
        <v>6</v>
      </c>
      <c r="Z14" s="33">
        <f t="shared" si="3"/>
        <v>3</v>
      </c>
      <c r="AA14" s="33">
        <f t="shared" si="4"/>
        <v>6</v>
      </c>
      <c r="AB14" s="33">
        <f t="shared" si="5"/>
        <v>0</v>
      </c>
    </row>
    <row r="15" spans="1:28" ht="16.5" customHeight="1">
      <c r="A15" s="36" t="s">
        <v>80</v>
      </c>
      <c r="B15" s="35">
        <v>14</v>
      </c>
      <c r="C15" s="35">
        <v>13.2</v>
      </c>
      <c r="D15" s="35">
        <v>13.7</v>
      </c>
      <c r="E15" s="48" t="str">
        <f>'ib'!$C258</f>
        <v>J Douglas</v>
      </c>
      <c r="F15" s="48" t="str">
        <f>'ib'!$D258</f>
        <v>WB</v>
      </c>
      <c r="G15" s="36">
        <f>'ib'!$E258</f>
        <v>12.28</v>
      </c>
      <c r="H15" s="36" t="str">
        <f>'ib'!$C259</f>
        <v>P Narangpen</v>
      </c>
      <c r="I15" s="36" t="str">
        <f>'ib'!$D259</f>
        <v>WB</v>
      </c>
      <c r="J15" s="36">
        <f>'ib'!$E259</f>
        <v>11.69</v>
      </c>
      <c r="K15" s="36" t="str">
        <f>'ib'!$C260</f>
        <v>Jude Van Spall</v>
      </c>
      <c r="L15" s="36" t="str">
        <f>'ib'!$D260</f>
        <v>W&amp;M</v>
      </c>
      <c r="M15" s="36">
        <f>'ib'!$E260</f>
        <v>11.56</v>
      </c>
      <c r="N15" s="36" t="str">
        <f>'ib'!$C261</f>
        <v>Raja Khan</v>
      </c>
      <c r="O15" s="36" t="str">
        <f>'ib'!$D261</f>
        <v>W&amp;M</v>
      </c>
      <c r="P15" s="36">
        <f>'ib'!$E261</f>
        <v>10.75</v>
      </c>
      <c r="Q15" s="36" t="str">
        <f>'ib'!$C262</f>
        <v>J Pitney</v>
      </c>
      <c r="R15" s="36" t="str">
        <f>'ib'!$D262</f>
        <v>WOK</v>
      </c>
      <c r="S15" s="36">
        <f>'ib'!$E262</f>
        <v>10.55</v>
      </c>
      <c r="T15" s="36">
        <f>'ib'!$C263</f>
      </c>
      <c r="U15" s="36">
        <f>'ib'!$D263</f>
      </c>
      <c r="V15" s="36">
        <f>'ib'!$E263</f>
        <v>0</v>
      </c>
      <c r="W15" s="125">
        <f t="shared" si="0"/>
        <v>11</v>
      </c>
      <c r="X15" s="33">
        <f t="shared" si="1"/>
        <v>0</v>
      </c>
      <c r="Y15" s="33">
        <f t="shared" si="2"/>
        <v>2</v>
      </c>
      <c r="Z15" s="33">
        <f t="shared" si="3"/>
        <v>0</v>
      </c>
      <c r="AA15" s="33">
        <f t="shared" si="4"/>
        <v>7</v>
      </c>
      <c r="AB15" s="33">
        <f t="shared" si="5"/>
        <v>0</v>
      </c>
    </row>
    <row r="16" spans="1:28" ht="16.5" customHeight="1">
      <c r="A16" s="36" t="s">
        <v>79</v>
      </c>
      <c r="B16" s="35">
        <v>3.6</v>
      </c>
      <c r="C16" s="35">
        <v>3.9</v>
      </c>
      <c r="D16" s="35">
        <v>4.2</v>
      </c>
      <c r="E16" s="48" t="str">
        <f>'ib'!$C215</f>
        <v>Peter Holt</v>
      </c>
      <c r="F16" s="48" t="str">
        <f>'ib'!$D215</f>
        <v>WOK</v>
      </c>
      <c r="G16" s="36">
        <f>'ib'!$E215</f>
        <v>3.6</v>
      </c>
      <c r="H16" s="48" t="str">
        <f>'ib'!$C216</f>
        <v>Max Young</v>
      </c>
      <c r="I16" s="48" t="str">
        <f>'ib'!$D216</f>
        <v>WOK</v>
      </c>
      <c r="J16" s="36">
        <f>'ib'!$E216</f>
        <v>3.4</v>
      </c>
      <c r="K16" s="48" t="str">
        <f>'ib'!$C217</f>
        <v>Abe Melbourne</v>
      </c>
      <c r="L16" s="48" t="str">
        <f>'ib'!$D217</f>
        <v>W&amp;M</v>
      </c>
      <c r="M16" s="36">
        <f>'ib'!$E217</f>
        <v>3</v>
      </c>
      <c r="N16" s="48" t="str">
        <f>'ib'!$C218</f>
        <v>Anthony Rice</v>
      </c>
      <c r="O16" s="48" t="str">
        <f>'ib'!$D218</f>
        <v>SL</v>
      </c>
      <c r="P16" s="36">
        <f>'ib'!$E218</f>
        <v>2.8</v>
      </c>
      <c r="Q16" s="48" t="str">
        <f>'ib'!$C219</f>
        <v>Josh Williams</v>
      </c>
      <c r="R16" s="48" t="str">
        <f>'ib'!$D219</f>
        <v>SL</v>
      </c>
      <c r="S16" s="36">
        <f>'ib'!$E219</f>
        <v>2</v>
      </c>
      <c r="T16" s="48">
        <f>'ib'!$C220</f>
      </c>
      <c r="U16" s="48">
        <f>'ib'!$D220</f>
      </c>
      <c r="V16" s="36">
        <f>'ib'!$E220</f>
        <v>0</v>
      </c>
      <c r="W16" s="125">
        <f t="shared" si="0"/>
        <v>0</v>
      </c>
      <c r="X16" s="33">
        <f t="shared" si="1"/>
        <v>0</v>
      </c>
      <c r="Y16" s="33">
        <f t="shared" si="2"/>
        <v>11</v>
      </c>
      <c r="Z16" s="33">
        <f t="shared" si="3"/>
        <v>0</v>
      </c>
      <c r="AA16" s="33">
        <f t="shared" si="4"/>
        <v>4</v>
      </c>
      <c r="AB16" s="33">
        <f t="shared" si="5"/>
        <v>5</v>
      </c>
    </row>
    <row r="17" spans="1:28" ht="16.5" customHeight="1">
      <c r="A17" s="36" t="s">
        <v>70</v>
      </c>
      <c r="B17" s="35">
        <v>46.92</v>
      </c>
      <c r="C17" s="35">
        <v>41</v>
      </c>
      <c r="D17" s="35">
        <v>44</v>
      </c>
      <c r="E17" s="48" t="str">
        <f>'ib'!$C225</f>
        <v>J Hill</v>
      </c>
      <c r="F17" s="48" t="str">
        <f>'ib'!$D225</f>
        <v>WB</v>
      </c>
      <c r="G17" s="36">
        <f>'ib'!$E225</f>
        <v>34.8</v>
      </c>
      <c r="H17" s="36" t="str">
        <f>'ib'!$C226</f>
        <v>Josh Teeder</v>
      </c>
      <c r="I17" s="36" t="str">
        <f>'ib'!$D226</f>
        <v>W&amp;M</v>
      </c>
      <c r="J17" s="36">
        <f>'ib'!$E226</f>
        <v>33.25</v>
      </c>
      <c r="K17" s="36" t="str">
        <f>'ib'!$C227</f>
        <v>H Donne</v>
      </c>
      <c r="L17" s="36" t="str">
        <f>'ib'!$D227</f>
        <v>WB</v>
      </c>
      <c r="M17" s="36">
        <f>'ib'!$E227</f>
        <v>29.46</v>
      </c>
      <c r="N17" s="36" t="str">
        <f>'ib'!$C228</f>
        <v>Josh Ihezue</v>
      </c>
      <c r="O17" s="36" t="str">
        <f>'ib'!$D228</f>
        <v>W&amp;M</v>
      </c>
      <c r="P17" s="36">
        <f>'ib'!$E228</f>
        <v>27.45</v>
      </c>
      <c r="Q17" s="36" t="str">
        <f>'ib'!$C229</f>
        <v>Aaron MacPepple-Jaja</v>
      </c>
      <c r="R17" s="36" t="str">
        <f>'ib'!$D229</f>
        <v>SL</v>
      </c>
      <c r="S17" s="36">
        <f>'ib'!$E229</f>
        <v>24.05</v>
      </c>
      <c r="T17" s="36" t="str">
        <f>'ib'!$C230</f>
        <v>Charlie Cox</v>
      </c>
      <c r="U17" s="36" t="str">
        <f>'ib'!$D230</f>
        <v>RDG</v>
      </c>
      <c r="V17" s="36">
        <f>'ib'!$E230</f>
        <v>22.5</v>
      </c>
      <c r="W17" s="125">
        <f t="shared" si="0"/>
        <v>10</v>
      </c>
      <c r="X17" s="33">
        <f t="shared" si="1"/>
        <v>1</v>
      </c>
      <c r="Y17" s="33">
        <f t="shared" si="2"/>
        <v>0</v>
      </c>
      <c r="Z17" s="33">
        <f t="shared" si="3"/>
        <v>0</v>
      </c>
      <c r="AA17" s="33">
        <f t="shared" si="4"/>
        <v>8</v>
      </c>
      <c r="AB17" s="33">
        <f t="shared" si="5"/>
        <v>2</v>
      </c>
    </row>
    <row r="18" spans="1:28" ht="16.5" customHeight="1">
      <c r="A18" s="36" t="s">
        <v>71</v>
      </c>
      <c r="B18" s="35">
        <v>15.41</v>
      </c>
      <c r="C18" s="35">
        <v>13.2</v>
      </c>
      <c r="D18" s="35">
        <v>14.5</v>
      </c>
      <c r="E18" s="48" t="str">
        <f>'ib'!$C274</f>
        <v>C Gurung</v>
      </c>
      <c r="F18" s="48" t="str">
        <f>'ib'!$D274</f>
        <v>WOK</v>
      </c>
      <c r="G18" s="36">
        <f>'ib'!$E274</f>
        <v>12.07</v>
      </c>
      <c r="H18" s="36" t="str">
        <f>'ib'!$C275</f>
        <v>Z Montgomery</v>
      </c>
      <c r="I18" s="36" t="str">
        <f>'ib'!$D275</f>
        <v>WB</v>
      </c>
      <c r="J18" s="36">
        <f>'ib'!$E275</f>
        <v>12.02</v>
      </c>
      <c r="K18" s="36" t="str">
        <f>'ib'!$C276</f>
        <v>T Butler</v>
      </c>
      <c r="L18" s="36" t="str">
        <f>'ib'!$D276</f>
        <v>WB</v>
      </c>
      <c r="M18" s="36">
        <f>'ib'!$E276</f>
        <v>11.96</v>
      </c>
      <c r="N18" s="36" t="str">
        <f>'ib'!$C277</f>
        <v>Will Atiomo</v>
      </c>
      <c r="O18" s="36" t="str">
        <f>'ib'!$D277</f>
        <v>SL</v>
      </c>
      <c r="P18" s="36">
        <f>'ib'!$E277</f>
        <v>11.83</v>
      </c>
      <c r="Q18" s="36" t="str">
        <f>'ib'!$C278</f>
        <v>Michael Davis</v>
      </c>
      <c r="R18" s="36" t="str">
        <f>'ib'!$D278</f>
        <v>W&amp;M</v>
      </c>
      <c r="S18" s="36">
        <f>'ib'!$E278</f>
        <v>11.39</v>
      </c>
      <c r="T18" s="36" t="str">
        <f>'ib'!$C279</f>
        <v>Jamie Cissell</v>
      </c>
      <c r="U18" s="36" t="str">
        <f>'ib'!$D279</f>
        <v>W&amp;M</v>
      </c>
      <c r="V18" s="36">
        <f>'ib'!$E279</f>
        <v>11.38</v>
      </c>
      <c r="W18" s="125">
        <f t="shared" si="0"/>
        <v>9</v>
      </c>
      <c r="X18" s="33">
        <f t="shared" si="1"/>
        <v>0</v>
      </c>
      <c r="Y18" s="33">
        <f t="shared" si="2"/>
        <v>6</v>
      </c>
      <c r="Z18" s="33">
        <f t="shared" si="3"/>
        <v>0</v>
      </c>
      <c r="AA18" s="33">
        <f t="shared" si="4"/>
        <v>3</v>
      </c>
      <c r="AB18" s="33">
        <f t="shared" si="5"/>
        <v>3</v>
      </c>
    </row>
    <row r="19" spans="1:28" ht="16.5" customHeight="1">
      <c r="A19" s="36" t="s">
        <v>73</v>
      </c>
      <c r="B19" s="35">
        <v>62</v>
      </c>
      <c r="C19" s="35">
        <v>52</v>
      </c>
      <c r="D19" s="35">
        <v>54</v>
      </c>
      <c r="E19" s="48" t="str">
        <f>'ib'!$C290</f>
        <v>B-S Bannister</v>
      </c>
      <c r="F19" s="48" t="str">
        <f>'ib'!$D290</f>
        <v>WB</v>
      </c>
      <c r="G19" s="36">
        <f>'ib'!$E290</f>
        <v>46.93</v>
      </c>
      <c r="H19" s="36" t="str">
        <f>'ib'!$C291</f>
        <v>T Johnson</v>
      </c>
      <c r="I19" s="36" t="str">
        <f>'ib'!$D291</f>
        <v>WOK</v>
      </c>
      <c r="J19" s="36">
        <f>'ib'!$E291</f>
        <v>39.88</v>
      </c>
      <c r="K19" s="36" t="str">
        <f>'ib'!$C292</f>
        <v>Oliver Mattews</v>
      </c>
      <c r="L19" s="36" t="str">
        <f>'ib'!$D292</f>
        <v>RDG</v>
      </c>
      <c r="M19" s="36">
        <f>'ib'!$E292</f>
        <v>37.95</v>
      </c>
      <c r="N19" s="36" t="str">
        <f>'ib'!$C293</f>
        <v>Nathan Smith</v>
      </c>
      <c r="O19" s="36" t="str">
        <f>'ib'!$D293</f>
        <v>W&amp;M</v>
      </c>
      <c r="P19" s="36">
        <f>'ib'!$E293</f>
        <v>37.75</v>
      </c>
      <c r="Q19" s="36" t="str">
        <f>'ib'!$C294</f>
        <v>Elliot Tulley</v>
      </c>
      <c r="R19" s="36" t="str">
        <f>'ib'!$D294</f>
        <v>W&amp;M</v>
      </c>
      <c r="S19" s="36">
        <f>'ib'!$E294</f>
        <v>33.4</v>
      </c>
      <c r="T19" s="36" t="str">
        <f>'ib'!$C295</f>
        <v>B Ford</v>
      </c>
      <c r="U19" s="36" t="str">
        <f>'ib'!$D295</f>
        <v>BRK</v>
      </c>
      <c r="V19" s="36">
        <f>'ib'!$E295</f>
        <v>28.56</v>
      </c>
      <c r="W19" s="125">
        <f t="shared" si="0"/>
        <v>6</v>
      </c>
      <c r="X19" s="33">
        <f t="shared" si="1"/>
        <v>4</v>
      </c>
      <c r="Y19" s="33">
        <f t="shared" si="2"/>
        <v>5</v>
      </c>
      <c r="Z19" s="33">
        <f t="shared" si="3"/>
        <v>1</v>
      </c>
      <c r="AA19" s="33">
        <f t="shared" si="4"/>
        <v>5</v>
      </c>
      <c r="AB19" s="33">
        <f t="shared" si="5"/>
        <v>0</v>
      </c>
    </row>
    <row r="20" spans="1:28" ht="16.5" customHeight="1">
      <c r="A20" s="36" t="s">
        <v>78</v>
      </c>
      <c r="B20" s="35">
        <v>72.7</v>
      </c>
      <c r="C20" s="35">
        <v>50</v>
      </c>
      <c r="D20" s="35">
        <v>56</v>
      </c>
      <c r="E20" s="48" t="str">
        <f>'ib'!$C189</f>
        <v>J. Gardner</v>
      </c>
      <c r="F20" s="48" t="str">
        <f>'ib'!$D189</f>
        <v>BRK</v>
      </c>
      <c r="G20" s="36">
        <f>'ib'!$E189</f>
        <v>43.36</v>
      </c>
      <c r="H20" s="36">
        <f>'ib'!$C190</f>
      </c>
      <c r="I20" s="36">
        <f>'ib'!$D190</f>
      </c>
      <c r="J20" s="36">
        <f>'ib'!$E190</f>
        <v>0</v>
      </c>
      <c r="K20" s="36">
        <f>'ib'!$C191</f>
      </c>
      <c r="L20" s="36">
        <f>'ib'!$D191</f>
      </c>
      <c r="M20" s="36">
        <f>'ib'!$E191</f>
        <v>0</v>
      </c>
      <c r="N20" s="36">
        <f>'ib'!$C192</f>
      </c>
      <c r="O20" s="36">
        <f>'ib'!$D192</f>
      </c>
      <c r="P20" s="36">
        <f>'ib'!$E192</f>
        <v>0</v>
      </c>
      <c r="Q20" s="36">
        <f>'ib'!$C193</f>
      </c>
      <c r="R20" s="36">
        <f>'ib'!$D193</f>
      </c>
      <c r="S20" s="36">
        <f>'ib'!$E193</f>
        <v>0</v>
      </c>
      <c r="T20" s="36">
        <f>'ib'!$C194</f>
      </c>
      <c r="U20" s="36">
        <f>'ib'!$D194</f>
      </c>
      <c r="V20" s="36">
        <f>'ib'!$E194</f>
        <v>0</v>
      </c>
      <c r="W20" s="125">
        <f t="shared" si="0"/>
        <v>0</v>
      </c>
      <c r="X20" s="33">
        <f t="shared" si="1"/>
        <v>0</v>
      </c>
      <c r="Y20" s="33">
        <f t="shared" si="2"/>
        <v>0</v>
      </c>
      <c r="Z20" s="33">
        <f t="shared" si="3"/>
        <v>6</v>
      </c>
      <c r="AA20" s="33">
        <f t="shared" si="4"/>
        <v>0</v>
      </c>
      <c r="AB20" s="33">
        <f t="shared" si="5"/>
        <v>0</v>
      </c>
    </row>
    <row r="21" spans="7:28" ht="13.5">
      <c r="G21" s="28"/>
      <c r="J21" s="38"/>
      <c r="V21" s="37"/>
      <c r="W21" s="125">
        <f t="shared" si="0"/>
        <v>0</v>
      </c>
      <c r="X21" s="33">
        <f t="shared" si="1"/>
        <v>0</v>
      </c>
      <c r="Y21" s="33">
        <f t="shared" si="2"/>
        <v>0</v>
      </c>
      <c r="Z21" s="33">
        <f t="shared" si="3"/>
        <v>0</v>
      </c>
      <c r="AA21" s="33">
        <f t="shared" si="4"/>
        <v>0</v>
      </c>
      <c r="AB21" s="33">
        <f t="shared" si="5"/>
        <v>0</v>
      </c>
    </row>
    <row r="22" spans="20:28" ht="12.75">
      <c r="T22" s="27" t="s">
        <v>74</v>
      </c>
      <c r="V22" s="37"/>
      <c r="W22" s="124">
        <f aca="true" t="shared" si="6" ref="W22:AB22">SUM(W3:W20)</f>
        <v>65</v>
      </c>
      <c r="X22" s="27">
        <f t="shared" si="6"/>
        <v>33</v>
      </c>
      <c r="Y22" s="27">
        <f t="shared" si="6"/>
        <v>73</v>
      </c>
      <c r="Z22" s="27">
        <f t="shared" si="6"/>
        <v>36</v>
      </c>
      <c r="AA22" s="27">
        <f t="shared" si="6"/>
        <v>61</v>
      </c>
      <c r="AB22" s="27">
        <f t="shared" si="6"/>
        <v>30</v>
      </c>
    </row>
    <row r="23" spans="1:28" ht="12.75">
      <c r="A23" s="45"/>
      <c r="T23" s="27" t="s">
        <v>75</v>
      </c>
      <c r="V23" s="37"/>
      <c r="W23" s="124">
        <f aca="true" t="shared" si="7" ref="W23:AB23">COUNT(W3:W19)</f>
        <v>16</v>
      </c>
      <c r="X23" s="27">
        <f t="shared" si="7"/>
        <v>16</v>
      </c>
      <c r="Y23" s="27">
        <f t="shared" si="7"/>
        <v>16</v>
      </c>
      <c r="Z23" s="27">
        <f t="shared" si="7"/>
        <v>16</v>
      </c>
      <c r="AA23" s="27">
        <f t="shared" si="7"/>
        <v>16</v>
      </c>
      <c r="AB23" s="27">
        <f t="shared" si="7"/>
        <v>16</v>
      </c>
    </row>
  </sheetData>
  <sheetProtection/>
  <printOptions gridLines="1"/>
  <pageMargins left="0" right="0" top="1.5748031496062993" bottom="0.3937007874015748" header="0.3937007874015748" footer="0.1968503937007874"/>
  <pageSetup horizontalDpi="300" verticalDpi="300" orientation="landscape" paperSize="9" r:id="rId2"/>
  <headerFooter alignWithMargins="0">
    <oddHeader>&amp;L&amp;G&amp;C&amp;"Arial,Bold"&amp;18Berkshire Schools Track &amp;&amp; Field Championships
Saturday, 12 June 2010
Palmer Park Reading&amp;"Arial,Regular"&amp;10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Sarah Fowler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Fowler</dc:creator>
  <cp:keywords/>
  <dc:description/>
  <cp:lastModifiedBy>Julian Starkey </cp:lastModifiedBy>
  <cp:lastPrinted>2017-06-10T16:25:28Z</cp:lastPrinted>
  <dcterms:created xsi:type="dcterms:W3CDTF">2008-05-28T19:16:49Z</dcterms:created>
  <dcterms:modified xsi:type="dcterms:W3CDTF">2017-06-20T11:18:03Z</dcterms:modified>
  <cp:category/>
  <cp:version/>
  <cp:contentType/>
  <cp:contentStatus/>
</cp:coreProperties>
</file>